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0" documentId="8_{78963779-DD93-4F93-A267-04CFE497167A}" xr6:coauthVersionLast="47" xr6:coauthVersionMax="47" xr10:uidLastSave="{00000000-0000-0000-0000-000000000000}"/>
  <bookViews>
    <workbookView xWindow="-120" yWindow="-120" windowWidth="24240" windowHeight="13140" xr2:uid="{00000000-000D-0000-FFFF-FFFF00000000}"/>
  </bookViews>
  <sheets>
    <sheet name="試算表" sheetId="8" r:id="rId1"/>
    <sheet name="計算表" sheetId="11" state="hidden" r:id="rId2"/>
    <sheet name="給与所得表" sheetId="5" state="hidden" r:id="rId3"/>
    <sheet name="年金所得表" sheetId="6" state="hidden" r:id="rId4"/>
  </sheets>
  <definedNames>
    <definedName name="_xlnm.Print_Area" localSheetId="0">試算表!$A$1:$J$47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1" l="1"/>
  <c r="E20" i="11"/>
  <c r="F51" i="11" l="1"/>
  <c r="F31" i="11"/>
  <c r="F52" i="11"/>
  <c r="F50" i="11"/>
  <c r="F49" i="11"/>
  <c r="F48" i="11"/>
  <c r="F47" i="11"/>
  <c r="F46" i="11"/>
  <c r="F45" i="11"/>
  <c r="F44" i="11"/>
  <c r="F43" i="11"/>
  <c r="F30" i="11"/>
  <c r="F29" i="11"/>
  <c r="E23" i="11"/>
  <c r="D24" i="11"/>
  <c r="D45" i="11" s="1"/>
  <c r="G23" i="11"/>
  <c r="F23" i="11"/>
  <c r="E22" i="11"/>
  <c r="C23" i="11"/>
  <c r="G22" i="11"/>
  <c r="E21" i="11"/>
  <c r="C22" i="11"/>
  <c r="G21" i="11"/>
  <c r="C21" i="11"/>
  <c r="G20" i="11"/>
  <c r="E19" i="11"/>
  <c r="D38" i="11" s="1"/>
  <c r="C20" i="11"/>
  <c r="I45" i="8"/>
  <c r="I44" i="8"/>
  <c r="I43" i="8"/>
  <c r="K4" i="6"/>
  <c r="G24" i="11" l="1"/>
  <c r="D29" i="11" s="1"/>
  <c r="E40" i="11"/>
  <c r="D37" i="11"/>
  <c r="D51" i="11" s="1"/>
  <c r="C19" i="11"/>
  <c r="D39" i="11"/>
  <c r="E38" i="11"/>
  <c r="I36" i="8"/>
  <c r="J23" i="11" s="1"/>
  <c r="I35" i="8"/>
  <c r="J22" i="11" s="1"/>
  <c r="I34" i="8"/>
  <c r="J21" i="11" s="1"/>
  <c r="I33" i="8"/>
  <c r="J20" i="11" s="1"/>
  <c r="I32" i="8"/>
  <c r="J19" i="11" s="1"/>
  <c r="D40" i="8" l="1"/>
  <c r="J29" i="8"/>
  <c r="D28" i="11"/>
  <c r="D30" i="11"/>
  <c r="D48" i="11"/>
  <c r="D44" i="11"/>
  <c r="D36" i="11"/>
  <c r="M3" i="6"/>
  <c r="L3" i="6"/>
  <c r="K3" i="6"/>
  <c r="J3" i="6"/>
  <c r="I3" i="6"/>
  <c r="M4" i="6"/>
  <c r="L4" i="6"/>
  <c r="J4" i="6"/>
  <c r="I4" i="6"/>
  <c r="J3" i="5"/>
  <c r="I3" i="5"/>
  <c r="H3" i="5"/>
  <c r="G3" i="5"/>
  <c r="F3" i="5"/>
  <c r="M10" i="6" l="1"/>
  <c r="M16" i="6"/>
  <c r="G10" i="5"/>
  <c r="G14" i="5"/>
  <c r="L10" i="6"/>
  <c r="L16" i="6"/>
  <c r="H12" i="5"/>
  <c r="H14" i="5"/>
  <c r="F10" i="5"/>
  <c r="F14" i="5"/>
  <c r="I12" i="5"/>
  <c r="I14" i="5"/>
  <c r="J12" i="5"/>
  <c r="J14" i="5"/>
  <c r="I10" i="6"/>
  <c r="I16" i="6"/>
  <c r="J16" i="6"/>
  <c r="J10" i="6"/>
  <c r="K10" i="6"/>
  <c r="K16" i="6"/>
  <c r="H10" i="5"/>
  <c r="I10" i="5"/>
  <c r="I11" i="5"/>
  <c r="J10" i="5"/>
  <c r="H11" i="5"/>
  <c r="J11" i="5"/>
  <c r="G11" i="5"/>
  <c r="G12" i="5"/>
  <c r="F11" i="5"/>
  <c r="F12" i="5"/>
  <c r="E15" i="6" l="1"/>
  <c r="E14" i="6"/>
  <c r="E13" i="6"/>
  <c r="E12" i="6"/>
  <c r="E11" i="6"/>
  <c r="E9" i="6"/>
  <c r="I9" i="6" s="1"/>
  <c r="E8" i="6"/>
  <c r="E7" i="6"/>
  <c r="E6" i="6"/>
  <c r="E5" i="6"/>
  <c r="J13" i="5"/>
  <c r="I13" i="5"/>
  <c r="J9" i="5"/>
  <c r="H9" i="5"/>
  <c r="G9" i="5"/>
  <c r="J8" i="5"/>
  <c r="J7" i="5"/>
  <c r="I7" i="5"/>
  <c r="F7" i="5"/>
  <c r="J6" i="5"/>
  <c r="I6" i="5"/>
  <c r="J5" i="5"/>
  <c r="I5" i="5"/>
  <c r="J4" i="5"/>
  <c r="I4" i="5"/>
  <c r="H4" i="5"/>
  <c r="F4" i="5"/>
  <c r="I8" i="5"/>
  <c r="H6" i="5"/>
  <c r="J7" i="6" l="1"/>
  <c r="L7" i="6"/>
  <c r="K7" i="6"/>
  <c r="M7" i="6"/>
  <c r="L9" i="6"/>
  <c r="J9" i="6"/>
  <c r="K9" i="6"/>
  <c r="M9" i="6"/>
  <c r="K11" i="6"/>
  <c r="L11" i="6"/>
  <c r="J11" i="6"/>
  <c r="M11" i="6"/>
  <c r="J13" i="6"/>
  <c r="K13" i="6"/>
  <c r="M13" i="6"/>
  <c r="L13" i="6"/>
  <c r="I13" i="6"/>
  <c r="L8" i="6"/>
  <c r="M8" i="6"/>
  <c r="J8" i="6"/>
  <c r="K8" i="6"/>
  <c r="L5" i="6"/>
  <c r="M5" i="6"/>
  <c r="J5" i="6"/>
  <c r="K5" i="6"/>
  <c r="J14" i="6"/>
  <c r="L14" i="6"/>
  <c r="I14" i="6"/>
  <c r="M14" i="6"/>
  <c r="K14" i="6"/>
  <c r="K12" i="6"/>
  <c r="M12" i="6"/>
  <c r="I12" i="6"/>
  <c r="L12" i="6"/>
  <c r="J12" i="6"/>
  <c r="M6" i="6"/>
  <c r="L6" i="6"/>
  <c r="J6" i="6"/>
  <c r="I6" i="6"/>
  <c r="K6" i="6"/>
  <c r="I15" i="6"/>
  <c r="L15" i="6"/>
  <c r="K15" i="6"/>
  <c r="J15" i="6"/>
  <c r="M15" i="6"/>
  <c r="J15" i="5"/>
  <c r="G36" i="8" s="1"/>
  <c r="G4" i="5"/>
  <c r="F9" i="5"/>
  <c r="G7" i="5"/>
  <c r="I9" i="5"/>
  <c r="F5" i="5"/>
  <c r="H7" i="5"/>
  <c r="I8" i="6"/>
  <c r="G5" i="5"/>
  <c r="H5" i="5"/>
  <c r="F8" i="5"/>
  <c r="G8" i="5"/>
  <c r="F13" i="5"/>
  <c r="F6" i="5"/>
  <c r="H8" i="5"/>
  <c r="G13" i="5"/>
  <c r="I11" i="6"/>
  <c r="G6" i="5"/>
  <c r="H13" i="5"/>
  <c r="I5" i="6"/>
  <c r="I7" i="6"/>
  <c r="I15" i="5" l="1"/>
  <c r="G35" i="8" s="1"/>
  <c r="L17" i="6"/>
  <c r="H35" i="8" s="1"/>
  <c r="I22" i="11" s="1"/>
  <c r="I17" i="6"/>
  <c r="H32" i="8" s="1"/>
  <c r="I19" i="11" s="1"/>
  <c r="H15" i="5"/>
  <c r="G34" i="8" s="1"/>
  <c r="F15" i="5"/>
  <c r="G32" i="8" s="1"/>
  <c r="M17" i="6"/>
  <c r="H36" i="8" s="1"/>
  <c r="I23" i="11" s="1"/>
  <c r="J17" i="6"/>
  <c r="H33" i="8" s="1"/>
  <c r="I20" i="11" s="1"/>
  <c r="K17" i="6"/>
  <c r="H34" i="8" s="1"/>
  <c r="I21" i="11" s="1"/>
  <c r="G15" i="5"/>
  <c r="G33" i="8" s="1"/>
  <c r="D23" i="11" l="1"/>
  <c r="H23" i="11" s="1"/>
  <c r="K23" i="11" s="1"/>
  <c r="D19" i="11"/>
  <c r="D20" i="11"/>
  <c r="H20" i="11" s="1"/>
  <c r="K20" i="11" s="1"/>
  <c r="D22" i="11"/>
  <c r="J35" i="8" s="1"/>
  <c r="F22" i="11" s="1"/>
  <c r="D21" i="11"/>
  <c r="J34" i="8" s="1"/>
  <c r="F21" i="11" s="1"/>
  <c r="H19" i="11" l="1"/>
  <c r="K19" i="11" s="1"/>
  <c r="E37" i="11" s="1"/>
  <c r="J36" i="8"/>
  <c r="H21" i="11"/>
  <c r="K21" i="11" s="1"/>
  <c r="H22" i="11"/>
  <c r="K22" i="11" s="1"/>
  <c r="E39" i="11" s="1"/>
  <c r="J32" i="8"/>
  <c r="F19" i="11" s="1"/>
  <c r="E36" i="11" l="1"/>
  <c r="K24" i="11" s="1"/>
  <c r="J33" i="8"/>
  <c r="F20" i="11" s="1"/>
  <c r="F39" i="11" l="1"/>
  <c r="F38" i="11"/>
  <c r="F37" i="11"/>
  <c r="D50" i="11" s="1"/>
  <c r="D52" i="11" s="1"/>
  <c r="E54" i="11"/>
  <c r="E48" i="11"/>
  <c r="E45" i="11"/>
  <c r="E44" i="11"/>
  <c r="E51" i="11"/>
  <c r="E50" i="11" l="1"/>
  <c r="E52" i="11" s="1"/>
  <c r="F36" i="11"/>
  <c r="F44" i="8"/>
  <c r="F45" i="8"/>
  <c r="F43" i="8"/>
  <c r="G43" i="8"/>
  <c r="D47" i="11" l="1"/>
  <c r="D49" i="11" s="1"/>
  <c r="D43" i="11"/>
  <c r="D46" i="11" s="1"/>
  <c r="E45" i="8"/>
  <c r="H45" i="8"/>
  <c r="D53" i="11" l="1"/>
  <c r="E47" i="11"/>
  <c r="E49" i="11" s="1"/>
  <c r="H44" i="8" s="1"/>
  <c r="E44" i="8"/>
  <c r="E43" i="11"/>
  <c r="E43" i="8" s="1"/>
  <c r="E46" i="11" l="1"/>
  <c r="E55" i="11" s="1"/>
  <c r="H43" i="8" l="1"/>
  <c r="E56" i="11"/>
  <c r="H47" i="8" s="1"/>
  <c r="H46" i="8"/>
</calcChain>
</file>

<file path=xl/sharedStrings.xml><?xml version="1.0" encoding="utf-8"?>
<sst xmlns="http://schemas.openxmlformats.org/spreadsheetml/2006/main" count="208" uniqueCount="161">
  <si>
    <t>No</t>
    <phoneticPr fontId="2"/>
  </si>
  <si>
    <t>年齢</t>
    <rPh sb="0" eb="2">
      <t>ネンレイ</t>
    </rPh>
    <phoneticPr fontId="2"/>
  </si>
  <si>
    <t>所得割の元となる額</t>
    <rPh sb="0" eb="2">
      <t>ショトク</t>
    </rPh>
    <rPh sb="2" eb="3">
      <t>ワリ</t>
    </rPh>
    <rPh sb="4" eb="5">
      <t>モト</t>
    </rPh>
    <rPh sb="8" eb="9">
      <t>ガク</t>
    </rPh>
    <phoneticPr fontId="2"/>
  </si>
  <si>
    <t>医療分</t>
    <rPh sb="0" eb="2">
      <t>イリョウ</t>
    </rPh>
    <rPh sb="2" eb="3">
      <t>ブン</t>
    </rPh>
    <phoneticPr fontId="2"/>
  </si>
  <si>
    <t>後期支援分</t>
    <rPh sb="0" eb="2">
      <t>コウキ</t>
    </rPh>
    <rPh sb="2" eb="4">
      <t>シエン</t>
    </rPh>
    <rPh sb="4" eb="5">
      <t>ブン</t>
    </rPh>
    <phoneticPr fontId="2"/>
  </si>
  <si>
    <t>介護分</t>
    <rPh sb="0" eb="2">
      <t>カイゴ</t>
    </rPh>
    <rPh sb="2" eb="3">
      <t>ブン</t>
    </rPh>
    <phoneticPr fontId="2"/>
  </si>
  <si>
    <t>所得割</t>
    <rPh sb="0" eb="2">
      <t>ショトク</t>
    </rPh>
    <rPh sb="2" eb="3">
      <t>ワリ</t>
    </rPh>
    <phoneticPr fontId="2"/>
  </si>
  <si>
    <t>均等割</t>
    <rPh sb="0" eb="2">
      <t>キントウ</t>
    </rPh>
    <rPh sb="2" eb="3">
      <t>ワリ</t>
    </rPh>
    <phoneticPr fontId="2"/>
  </si>
  <si>
    <t>平等割</t>
    <rPh sb="0" eb="2">
      <t>ビョウドウ</t>
    </rPh>
    <rPh sb="2" eb="3">
      <t>ワリ</t>
    </rPh>
    <phoneticPr fontId="2"/>
  </si>
  <si>
    <t>合計</t>
    <rPh sb="0" eb="2">
      <t>ゴウケイ</t>
    </rPh>
    <phoneticPr fontId="2"/>
  </si>
  <si>
    <t>年齢区分</t>
    <rPh sb="0" eb="2">
      <t>ネンレイ</t>
    </rPh>
    <rPh sb="2" eb="4">
      <t>クブン</t>
    </rPh>
    <phoneticPr fontId="2"/>
  </si>
  <si>
    <t>40~64歳の人</t>
    <rPh sb="5" eb="6">
      <t>サイ</t>
    </rPh>
    <rPh sb="7" eb="8">
      <t>ヒト</t>
    </rPh>
    <phoneticPr fontId="2"/>
  </si>
  <si>
    <t>6歳未満の人</t>
    <rPh sb="1" eb="2">
      <t>サイ</t>
    </rPh>
    <rPh sb="2" eb="4">
      <t>ミマン</t>
    </rPh>
    <rPh sb="5" eb="6">
      <t>ヒト</t>
    </rPh>
    <phoneticPr fontId="2"/>
  </si>
  <si>
    <t>その他の人</t>
    <rPh sb="2" eb="3">
      <t>ホカ</t>
    </rPh>
    <rPh sb="4" eb="5">
      <t>ヒト</t>
    </rPh>
    <phoneticPr fontId="2"/>
  </si>
  <si>
    <t>…A</t>
    <phoneticPr fontId="2"/>
  </si>
  <si>
    <t>…B</t>
    <phoneticPr fontId="2"/>
  </si>
  <si>
    <t>保険料額</t>
    <rPh sb="0" eb="3">
      <t>ホケンリョウ</t>
    </rPh>
    <rPh sb="3" eb="4">
      <t>ガク</t>
    </rPh>
    <phoneticPr fontId="2"/>
  </si>
  <si>
    <t>説明</t>
    <rPh sb="0" eb="2">
      <t>セツメイ</t>
    </rPh>
    <phoneticPr fontId="2"/>
  </si>
  <si>
    <t>年間保険料額</t>
    <rPh sb="0" eb="2">
      <t>ネンカン</t>
    </rPh>
    <rPh sb="2" eb="5">
      <t>ホケンリョウ</t>
    </rPh>
    <rPh sb="5" eb="6">
      <t>ガク</t>
    </rPh>
    <phoneticPr fontId="2"/>
  </si>
  <si>
    <t>医療分合計</t>
    <rPh sb="0" eb="2">
      <t>イリョウ</t>
    </rPh>
    <rPh sb="2" eb="3">
      <t>ブン</t>
    </rPh>
    <rPh sb="3" eb="5">
      <t>ゴウケイ</t>
    </rPh>
    <phoneticPr fontId="2"/>
  </si>
  <si>
    <t>後期支援分合計</t>
    <rPh sb="0" eb="2">
      <t>コウキ</t>
    </rPh>
    <rPh sb="2" eb="4">
      <t>シエン</t>
    </rPh>
    <rPh sb="4" eb="5">
      <t>ブン</t>
    </rPh>
    <rPh sb="5" eb="7">
      <t>ゴウケイ</t>
    </rPh>
    <phoneticPr fontId="2"/>
  </si>
  <si>
    <t>介護分合計</t>
    <rPh sb="0" eb="2">
      <t>カイゴ</t>
    </rPh>
    <rPh sb="2" eb="3">
      <t>ブン</t>
    </rPh>
    <rPh sb="3" eb="5">
      <t>ゴウケイ</t>
    </rPh>
    <phoneticPr fontId="2"/>
  </si>
  <si>
    <t>給与所得者等</t>
    <rPh sb="0" eb="2">
      <t>キュウヨ</t>
    </rPh>
    <rPh sb="2" eb="4">
      <t>ショトク</t>
    </rPh>
    <rPh sb="4" eb="5">
      <t>シャ</t>
    </rPh>
    <rPh sb="5" eb="6">
      <t>ナド</t>
    </rPh>
    <phoneticPr fontId="2"/>
  </si>
  <si>
    <t>給与収入</t>
    <rPh sb="0" eb="2">
      <t>キュウヨ</t>
    </rPh>
    <rPh sb="2" eb="4">
      <t>シュウニュウ</t>
    </rPh>
    <phoneticPr fontId="2"/>
  </si>
  <si>
    <t>給与所得</t>
    <rPh sb="0" eb="2">
      <t>キュウヨ</t>
    </rPh>
    <rPh sb="2" eb="4">
      <t>ショトク</t>
    </rPh>
    <phoneticPr fontId="2"/>
  </si>
  <si>
    <t>年金所得</t>
    <rPh sb="0" eb="2">
      <t>ネンキン</t>
    </rPh>
    <rPh sb="2" eb="4">
      <t>ショトク</t>
    </rPh>
    <phoneticPr fontId="2"/>
  </si>
  <si>
    <t>その他所得（営業等）</t>
    <rPh sb="2" eb="3">
      <t>タ</t>
    </rPh>
    <rPh sb="3" eb="5">
      <t>ショトク</t>
    </rPh>
    <rPh sb="6" eb="8">
      <t>エイギョウ</t>
    </rPh>
    <rPh sb="8" eb="9">
      <t>ナド</t>
    </rPh>
    <phoneticPr fontId="2"/>
  </si>
  <si>
    <t>総所得</t>
    <rPh sb="0" eb="3">
      <t>ソウショトク</t>
    </rPh>
    <phoneticPr fontId="2"/>
  </si>
  <si>
    <t>*60%+97,600</t>
  </si>
  <si>
    <t>*60%+98,000</t>
  </si>
  <si>
    <t>*60%+98,800</t>
  </si>
  <si>
    <t>*60%+99,600</t>
  </si>
  <si>
    <t>*60%+100,000</t>
  </si>
  <si>
    <t>*70%-80,000</t>
  </si>
  <si>
    <t>*80%-440,000</t>
  </si>
  <si>
    <t>*90%-1,100,000</t>
  </si>
  <si>
    <t>65歳未満</t>
    <rPh sb="2" eb="3">
      <t>サイ</t>
    </rPh>
    <rPh sb="3" eb="5">
      <t>ミマン</t>
    </rPh>
    <phoneticPr fontId="4"/>
  </si>
  <si>
    <t>公的年金等収入金額の合計額</t>
  </si>
  <si>
    <t>公的年金等所得金額</t>
  </si>
  <si>
    <t>60万円未満</t>
    <phoneticPr fontId="4"/>
  </si>
  <si>
    <t>　0円　　</t>
  </si>
  <si>
    <t>60万円以上130万円未満</t>
    <phoneticPr fontId="4"/>
  </si>
  <si>
    <t>収入金額－60万円</t>
    <phoneticPr fontId="4"/>
  </si>
  <si>
    <t>130万円以上410万円未満</t>
  </si>
  <si>
    <t>収入金額×75％－27万5千円</t>
    <phoneticPr fontId="4"/>
  </si>
  <si>
    <t>410万円以上770万円未満</t>
  </si>
  <si>
    <t>収入金額×85％－68万5千円　</t>
    <phoneticPr fontId="4"/>
  </si>
  <si>
    <t>770万円以上1000万円未満</t>
    <phoneticPr fontId="4"/>
  </si>
  <si>
    <t>収入金額×95％－145万5千円　</t>
    <phoneticPr fontId="4"/>
  </si>
  <si>
    <t>1000万円以上</t>
    <phoneticPr fontId="4"/>
  </si>
  <si>
    <t>収入金額－195万5千円　</t>
    <phoneticPr fontId="4"/>
  </si>
  <si>
    <t>65歳以上</t>
    <rPh sb="2" eb="3">
      <t>サイ</t>
    </rPh>
    <rPh sb="3" eb="5">
      <t>イジョウ</t>
    </rPh>
    <phoneticPr fontId="4"/>
  </si>
  <si>
    <t>110万円未満</t>
    <phoneticPr fontId="4"/>
  </si>
  <si>
    <t>0円</t>
  </si>
  <si>
    <t>110万円以上330万円未満</t>
    <phoneticPr fontId="4"/>
  </si>
  <si>
    <t>収入金額－110万円　</t>
    <phoneticPr fontId="4"/>
  </si>
  <si>
    <t>330万円以上410万円未満</t>
  </si>
  <si>
    <t>軽減判定額</t>
    <rPh sb="0" eb="2">
      <t>ケイゲン</t>
    </rPh>
    <rPh sb="2" eb="4">
      <t>ハンテイ</t>
    </rPh>
    <rPh sb="4" eb="5">
      <t>ガク</t>
    </rPh>
    <phoneticPr fontId="2"/>
  </si>
  <si>
    <t>２割軽減</t>
    <rPh sb="1" eb="2">
      <t>ワリ</t>
    </rPh>
    <rPh sb="2" eb="4">
      <t>ケイゲン</t>
    </rPh>
    <phoneticPr fontId="2"/>
  </si>
  <si>
    <t>５割軽減</t>
    <rPh sb="1" eb="2">
      <t>ワリ</t>
    </rPh>
    <rPh sb="2" eb="4">
      <t>ケイゲン</t>
    </rPh>
    <phoneticPr fontId="2"/>
  </si>
  <si>
    <t>７割軽減</t>
    <rPh sb="1" eb="2">
      <t>ワリ</t>
    </rPh>
    <rPh sb="2" eb="4">
      <t>ケイゲン</t>
    </rPh>
    <phoneticPr fontId="2"/>
  </si>
  <si>
    <t>軽減なし</t>
    <rPh sb="0" eb="2">
      <t>ケイゲン</t>
    </rPh>
    <phoneticPr fontId="2"/>
  </si>
  <si>
    <t>軽減判定額が43万円＋（給与所得者等の数-1）×10万円　以下</t>
    <rPh sb="0" eb="2">
      <t>ケイゲン</t>
    </rPh>
    <rPh sb="2" eb="4">
      <t>ハンテイ</t>
    </rPh>
    <rPh sb="4" eb="5">
      <t>ガク</t>
    </rPh>
    <rPh sb="8" eb="10">
      <t>マンエン</t>
    </rPh>
    <rPh sb="12" eb="14">
      <t>キュウヨ</t>
    </rPh>
    <rPh sb="14" eb="16">
      <t>ショトク</t>
    </rPh>
    <rPh sb="16" eb="17">
      <t>シャ</t>
    </rPh>
    <rPh sb="17" eb="18">
      <t>ナド</t>
    </rPh>
    <rPh sb="19" eb="20">
      <t>カズ</t>
    </rPh>
    <rPh sb="26" eb="28">
      <t>マンエン</t>
    </rPh>
    <rPh sb="29" eb="31">
      <t>イカ</t>
    </rPh>
    <phoneticPr fontId="2"/>
  </si>
  <si>
    <t>年金収入</t>
    <rPh sb="0" eb="2">
      <t>ネンキン</t>
    </rPh>
    <rPh sb="2" eb="4">
      <t>シュウニュウ</t>
    </rPh>
    <phoneticPr fontId="2"/>
  </si>
  <si>
    <t>計算式</t>
    <rPh sb="0" eb="2">
      <t>ケイサン</t>
    </rPh>
    <rPh sb="2" eb="3">
      <t>シキ</t>
    </rPh>
    <phoneticPr fontId="2"/>
  </si>
  <si>
    <t>～以下</t>
    <rPh sb="1" eb="3">
      <t>イカ</t>
    </rPh>
    <phoneticPr fontId="2"/>
  </si>
  <si>
    <t>以上~</t>
    <rPh sb="0" eb="2">
      <t>イジョウ</t>
    </rPh>
    <phoneticPr fontId="2"/>
  </si>
  <si>
    <t>年金軽減判定所得</t>
    <rPh sb="0" eb="2">
      <t>ネンキン</t>
    </rPh>
    <rPh sb="2" eb="4">
      <t>ケイゲン</t>
    </rPh>
    <rPh sb="4" eb="6">
      <t>ハンテイ</t>
    </rPh>
    <rPh sb="6" eb="8">
      <t>ショトク</t>
    </rPh>
    <phoneticPr fontId="4"/>
  </si>
  <si>
    <t>*0.75-275000</t>
    <phoneticPr fontId="2"/>
  </si>
  <si>
    <t>*0.85-685000</t>
    <phoneticPr fontId="2"/>
  </si>
  <si>
    <t>*0.95-1455000</t>
    <phoneticPr fontId="2"/>
  </si>
  <si>
    <t>*0.95-1455000</t>
    <phoneticPr fontId="2"/>
  </si>
  <si>
    <t>年齢</t>
    <rPh sb="0" eb="2">
      <t>ネンレイ</t>
    </rPh>
    <phoneticPr fontId="2"/>
  </si>
  <si>
    <t>給与所得者等：給与収入が55万円を超える人、公的年金等の収入が60万円を超える65歳未満の人、又は公的年金等の収入が125万円を超える65歳以上の人</t>
    <rPh sb="0" eb="2">
      <t>キュウヨ</t>
    </rPh>
    <rPh sb="2" eb="5">
      <t>ショトクシャ</t>
    </rPh>
    <rPh sb="5" eb="6">
      <t>ナド</t>
    </rPh>
    <rPh sb="7" eb="9">
      <t>キュウヨ</t>
    </rPh>
    <rPh sb="9" eb="11">
      <t>シュウニュウ</t>
    </rPh>
    <rPh sb="15" eb="16">
      <t>エン</t>
    </rPh>
    <rPh sb="17" eb="18">
      <t>コ</t>
    </rPh>
    <rPh sb="20" eb="21">
      <t>ヒト</t>
    </rPh>
    <rPh sb="22" eb="24">
      <t>コウテキ</t>
    </rPh>
    <rPh sb="24" eb="26">
      <t>ネンキン</t>
    </rPh>
    <rPh sb="26" eb="27">
      <t>トウ</t>
    </rPh>
    <rPh sb="28" eb="30">
      <t>シュウニュウ</t>
    </rPh>
    <rPh sb="33" eb="35">
      <t>マンエン</t>
    </rPh>
    <rPh sb="36" eb="37">
      <t>コ</t>
    </rPh>
    <rPh sb="41" eb="44">
      <t>サイミマン</t>
    </rPh>
    <rPh sb="45" eb="46">
      <t>ヒト</t>
    </rPh>
    <rPh sb="47" eb="48">
      <t>マタ</t>
    </rPh>
    <rPh sb="49" eb="51">
      <t>コウテキ</t>
    </rPh>
    <rPh sb="51" eb="53">
      <t>ネンキン</t>
    </rPh>
    <rPh sb="53" eb="54">
      <t>ナド</t>
    </rPh>
    <rPh sb="55" eb="57">
      <t>シュウニュウ</t>
    </rPh>
    <rPh sb="61" eb="63">
      <t>マンエン</t>
    </rPh>
    <rPh sb="64" eb="65">
      <t>コ</t>
    </rPh>
    <rPh sb="69" eb="72">
      <t>サイイジョウ</t>
    </rPh>
    <rPh sb="73" eb="74">
      <t>ヒト</t>
    </rPh>
    <phoneticPr fontId="2"/>
  </si>
  <si>
    <t>ひと月あたりの保険料額</t>
    <rPh sb="2" eb="3">
      <t>ツキ</t>
    </rPh>
    <rPh sb="7" eb="10">
      <t>ホケンリョウ</t>
    </rPh>
    <rPh sb="10" eb="11">
      <t>ガク</t>
    </rPh>
    <phoneticPr fontId="2"/>
  </si>
  <si>
    <t>加入人数</t>
    <rPh sb="0" eb="2">
      <t>カニュウ</t>
    </rPh>
    <rPh sb="2" eb="4">
      <t>ニンズウ</t>
    </rPh>
    <phoneticPr fontId="2"/>
  </si>
  <si>
    <t>世帯合計</t>
    <rPh sb="0" eb="2">
      <t>セタイ</t>
    </rPh>
    <rPh sb="2" eb="4">
      <t>ゴウケイ</t>
    </rPh>
    <phoneticPr fontId="2"/>
  </si>
  <si>
    <t>うち</t>
    <phoneticPr fontId="2"/>
  </si>
  <si>
    <t>世帯軽減</t>
    <rPh sb="0" eb="2">
      <t>セタイ</t>
    </rPh>
    <rPh sb="2" eb="4">
      <t>ケイゲン</t>
    </rPh>
    <phoneticPr fontId="2"/>
  </si>
  <si>
    <t>合計*世帯軽減</t>
    <rPh sb="0" eb="2">
      <t>ゴウケイ</t>
    </rPh>
    <rPh sb="3" eb="5">
      <t>セタイ</t>
    </rPh>
    <rPh sb="5" eb="7">
      <t>ケイゲン</t>
    </rPh>
    <phoneticPr fontId="2"/>
  </si>
  <si>
    <t>年間（12ヶ月）</t>
    <rPh sb="0" eb="2">
      <t>ネンカン</t>
    </rPh>
    <rPh sb="6" eb="7">
      <t>ゲツ</t>
    </rPh>
    <phoneticPr fontId="2"/>
  </si>
  <si>
    <t>医療</t>
    <rPh sb="0" eb="2">
      <t>イリョウ</t>
    </rPh>
    <phoneticPr fontId="2"/>
  </si>
  <si>
    <t>所得割</t>
  </si>
  <si>
    <t>所得割</t>
    <phoneticPr fontId="2"/>
  </si>
  <si>
    <t>後期</t>
    <rPh sb="0" eb="2">
      <t>コウキ</t>
    </rPh>
    <phoneticPr fontId="2"/>
  </si>
  <si>
    <t>介護</t>
    <rPh sb="0" eb="2">
      <t>カイゴ</t>
    </rPh>
    <phoneticPr fontId="2"/>
  </si>
  <si>
    <t>均等割</t>
    <rPh sb="0" eb="3">
      <t>キントウワ</t>
    </rPh>
    <phoneticPr fontId="2"/>
  </si>
  <si>
    <t>平等割</t>
    <rPh sb="0" eb="2">
      <t>ビョウドウ</t>
    </rPh>
    <rPh sb="2" eb="3">
      <t>ワ</t>
    </rPh>
    <phoneticPr fontId="2"/>
  </si>
  <si>
    <t>限度額</t>
    <rPh sb="0" eb="3">
      <t>ゲンドガク</t>
    </rPh>
    <phoneticPr fontId="2"/>
  </si>
  <si>
    <t>/12ヶ月</t>
    <rPh sb="4" eb="5">
      <t>ゲツ</t>
    </rPh>
    <phoneticPr fontId="2"/>
  </si>
  <si>
    <t>給与</t>
    <rPh sb="0" eb="2">
      <t>キュウヨ</t>
    </rPh>
    <phoneticPr fontId="2"/>
  </si>
  <si>
    <t>年金</t>
    <rPh sb="0" eb="2">
      <t>ネンキン</t>
    </rPh>
    <phoneticPr fontId="2"/>
  </si>
  <si>
    <t>その他</t>
    <rPh sb="2" eb="3">
      <t>タ</t>
    </rPh>
    <phoneticPr fontId="2"/>
  </si>
  <si>
    <t>軽減判定額：所得のうち、65歳以上の年金所得は-15万円</t>
    <rPh sb="0" eb="2">
      <t>ケイゲン</t>
    </rPh>
    <rPh sb="2" eb="4">
      <t>ハンテイ</t>
    </rPh>
    <rPh sb="4" eb="5">
      <t>ガク</t>
    </rPh>
    <rPh sb="6" eb="8">
      <t>ショトク</t>
    </rPh>
    <rPh sb="14" eb="15">
      <t>サイ</t>
    </rPh>
    <rPh sb="15" eb="17">
      <t>イジョウ</t>
    </rPh>
    <rPh sb="18" eb="20">
      <t>ネンキン</t>
    </rPh>
    <rPh sb="20" eb="22">
      <t>ショトク</t>
    </rPh>
    <rPh sb="26" eb="27">
      <t>マン</t>
    </rPh>
    <rPh sb="27" eb="28">
      <t>エン</t>
    </rPh>
    <phoneticPr fontId="2"/>
  </si>
  <si>
    <t>黄色塗が利用者入力</t>
    <phoneticPr fontId="2"/>
  </si>
  <si>
    <t>青色塗が自動計算部分</t>
    <phoneticPr fontId="2"/>
  </si>
  <si>
    <t>軽減判定額より世帯の所得に応じて軽減</t>
    <rPh sb="0" eb="2">
      <t>ケイゲン</t>
    </rPh>
    <rPh sb="2" eb="4">
      <t>ハンテイ</t>
    </rPh>
    <rPh sb="4" eb="5">
      <t>ガク</t>
    </rPh>
    <rPh sb="7" eb="9">
      <t>セタイ</t>
    </rPh>
    <rPh sb="10" eb="12">
      <t>ショトク</t>
    </rPh>
    <rPh sb="13" eb="14">
      <t>オウ</t>
    </rPh>
    <rPh sb="16" eb="18">
      <t>ケイゲン</t>
    </rPh>
    <phoneticPr fontId="2"/>
  </si>
  <si>
    <t>擬主</t>
    <rPh sb="0" eb="1">
      <t>ギ</t>
    </rPh>
    <rPh sb="1" eb="2">
      <t>シュ</t>
    </rPh>
    <phoneticPr fontId="2"/>
  </si>
  <si>
    <t>世帯主</t>
    <rPh sb="0" eb="3">
      <t>セタイヌシ</t>
    </rPh>
    <phoneticPr fontId="2"/>
  </si>
  <si>
    <t>世帯主が国保</t>
    <rPh sb="0" eb="3">
      <t>セタイヌシ</t>
    </rPh>
    <rPh sb="4" eb="6">
      <t>コクホ</t>
    </rPh>
    <phoneticPr fontId="2"/>
  </si>
  <si>
    <t>控除</t>
    <rPh sb="0" eb="2">
      <t>コウジョ</t>
    </rPh>
    <phoneticPr fontId="2"/>
  </si>
  <si>
    <t>計</t>
    <rPh sb="0" eb="1">
      <t>ケイ</t>
    </rPh>
    <phoneticPr fontId="2"/>
  </si>
  <si>
    <t>割合</t>
    <rPh sb="0" eb="2">
      <t>ワリアイ</t>
    </rPh>
    <phoneticPr fontId="2"/>
  </si>
  <si>
    <t>軽減区分</t>
    <rPh sb="0" eb="2">
      <t>ケイゲン</t>
    </rPh>
    <rPh sb="2" eb="4">
      <t>クブン</t>
    </rPh>
    <phoneticPr fontId="2"/>
  </si>
  <si>
    <t>軽減閾値</t>
    <rPh sb="0" eb="2">
      <t>ケイゲン</t>
    </rPh>
    <rPh sb="2" eb="4">
      <t>シキイチ</t>
    </rPh>
    <phoneticPr fontId="2"/>
  </si>
  <si>
    <t>説明</t>
    <rPh sb="0" eb="2">
      <t>セツメイ</t>
    </rPh>
    <phoneticPr fontId="2"/>
  </si>
  <si>
    <t>世帯員1</t>
    <rPh sb="0" eb="3">
      <t>セタイイン</t>
    </rPh>
    <phoneticPr fontId="2"/>
  </si>
  <si>
    <t>世帯員2</t>
    <rPh sb="0" eb="3">
      <t>セタイイン</t>
    </rPh>
    <phoneticPr fontId="2"/>
  </si>
  <si>
    <t>世帯員3</t>
    <rPh sb="0" eb="3">
      <t>セタイイン</t>
    </rPh>
    <phoneticPr fontId="2"/>
  </si>
  <si>
    <t>世帯員4</t>
    <rPh sb="0" eb="3">
      <t>セタイイン</t>
    </rPh>
    <phoneticPr fontId="2"/>
  </si>
  <si>
    <t>↑被保険者数</t>
    <rPh sb="1" eb="5">
      <t>ヒホケンジャ</t>
    </rPh>
    <rPh sb="5" eb="6">
      <t>スウ</t>
    </rPh>
    <phoneticPr fontId="2"/>
  </si>
  <si>
    <t>試算結果</t>
    <rPh sb="0" eb="4">
      <t>シサンケッカ</t>
    </rPh>
    <phoneticPr fontId="2"/>
  </si>
  <si>
    <t>金額内訳</t>
    <rPh sb="0" eb="2">
      <t>キンガク</t>
    </rPh>
    <rPh sb="2" eb="4">
      <t>ウチワケ</t>
    </rPh>
    <phoneticPr fontId="2"/>
  </si>
  <si>
    <t>医療分</t>
    <rPh sb="0" eb="2">
      <t>イリョウ</t>
    </rPh>
    <rPh sb="2" eb="3">
      <t>ブン</t>
    </rPh>
    <phoneticPr fontId="2"/>
  </si>
  <si>
    <t>後期支援分</t>
    <rPh sb="0" eb="2">
      <t>コウキ</t>
    </rPh>
    <rPh sb="2" eb="4">
      <t>シエン</t>
    </rPh>
    <rPh sb="4" eb="5">
      <t>ブン</t>
    </rPh>
    <phoneticPr fontId="2"/>
  </si>
  <si>
    <t>介護分</t>
    <rPh sb="0" eb="2">
      <t>カイゴ</t>
    </rPh>
    <rPh sb="2" eb="3">
      <t>ブン</t>
    </rPh>
    <phoneticPr fontId="2"/>
  </si>
  <si>
    <t>所得割</t>
    <rPh sb="0" eb="3">
      <t>ショトクワリ</t>
    </rPh>
    <phoneticPr fontId="2"/>
  </si>
  <si>
    <t>均等割</t>
    <rPh sb="0" eb="2">
      <t>キントウ</t>
    </rPh>
    <rPh sb="2" eb="3">
      <t>ワリ</t>
    </rPh>
    <phoneticPr fontId="2"/>
  </si>
  <si>
    <t>平等割</t>
    <rPh sb="0" eb="2">
      <t>ビョウドウ</t>
    </rPh>
    <rPh sb="2" eb="3">
      <t>ワリ</t>
    </rPh>
    <phoneticPr fontId="2"/>
  </si>
  <si>
    <t>計</t>
    <rPh sb="0" eb="1">
      <t>ケイ</t>
    </rPh>
    <phoneticPr fontId="2"/>
  </si>
  <si>
    <t>－</t>
    <phoneticPr fontId="2"/>
  </si>
  <si>
    <t xml:space="preserve">  年間保険料額</t>
    <rPh sb="2" eb="4">
      <t>ネンカン</t>
    </rPh>
    <rPh sb="4" eb="7">
      <t>ホケンリョウ</t>
    </rPh>
    <rPh sb="7" eb="8">
      <t>ガク</t>
    </rPh>
    <phoneticPr fontId="2"/>
  </si>
  <si>
    <t xml:space="preserve">  １か月あたりの保険料額</t>
    <rPh sb="4" eb="5">
      <t>ツキ</t>
    </rPh>
    <rPh sb="9" eb="12">
      <t>ホケンリョウ</t>
    </rPh>
    <rPh sb="12" eb="13">
      <t>ガク</t>
    </rPh>
    <phoneticPr fontId="2"/>
  </si>
  <si>
    <t>世帯主が国民健康保険に</t>
    <rPh sb="0" eb="3">
      <t>セタイヌシ</t>
    </rPh>
    <rPh sb="4" eb="6">
      <t>コクミン</t>
    </rPh>
    <rPh sb="6" eb="8">
      <t>ケンコウ</t>
    </rPh>
    <rPh sb="8" eb="10">
      <t>ホケン</t>
    </rPh>
    <phoneticPr fontId="2"/>
  </si>
  <si>
    <t>加入する</t>
    <rPh sb="0" eb="2">
      <t>カニュウ</t>
    </rPh>
    <phoneticPr fontId="2"/>
  </si>
  <si>
    <t>加入しない</t>
    <rPh sb="0" eb="2">
      <t>カニュウ</t>
    </rPh>
    <phoneticPr fontId="2"/>
  </si>
  <si>
    <t>この計算結果はあくまで試算であり、実際の保険料とは異なる場合があります。</t>
    <rPh sb="2" eb="4">
      <t>ケイサン</t>
    </rPh>
    <rPh sb="4" eb="6">
      <t>ケッカ</t>
    </rPh>
    <rPh sb="11" eb="13">
      <t>シサン</t>
    </rPh>
    <rPh sb="17" eb="19">
      <t>ジッサイ</t>
    </rPh>
    <rPh sb="20" eb="23">
      <t>ホケンリョウ</t>
    </rPh>
    <rPh sb="25" eb="26">
      <t>コト</t>
    </rPh>
    <rPh sb="28" eb="30">
      <t>バアイ</t>
    </rPh>
    <phoneticPr fontId="2"/>
  </si>
  <si>
    <t>届出が遅れた場合、保険料は資格を取得した月（退職月）まで遡って発生しますが、</t>
    <rPh sb="0" eb="1">
      <t>トド</t>
    </rPh>
    <rPh sb="1" eb="2">
      <t>デ</t>
    </rPh>
    <rPh sb="3" eb="4">
      <t>オク</t>
    </rPh>
    <rPh sb="6" eb="8">
      <t>バアイ</t>
    </rPh>
    <rPh sb="9" eb="12">
      <t>ホケンリョウ</t>
    </rPh>
    <rPh sb="13" eb="15">
      <t>シカク</t>
    </rPh>
    <rPh sb="16" eb="18">
      <t>シュトク</t>
    </rPh>
    <rPh sb="20" eb="21">
      <t>ツキ</t>
    </rPh>
    <rPh sb="22" eb="24">
      <t>タイショク</t>
    </rPh>
    <rPh sb="24" eb="25">
      <t>ツキ</t>
    </rPh>
    <rPh sb="28" eb="29">
      <t>サカノボ</t>
    </rPh>
    <rPh sb="31" eb="33">
      <t>ハッセイ</t>
    </rPh>
    <phoneticPr fontId="2"/>
  </si>
  <si>
    <t>納付は届出した月以降から始まります。そのため、1回あたりの納付金額は高くなります。</t>
    <rPh sb="0" eb="2">
      <t>ノウフ</t>
    </rPh>
    <rPh sb="3" eb="5">
      <t>トドケデ</t>
    </rPh>
    <rPh sb="7" eb="8">
      <t>ツキ</t>
    </rPh>
    <rPh sb="8" eb="10">
      <t>イコウ</t>
    </rPh>
    <rPh sb="12" eb="13">
      <t>ハジ</t>
    </rPh>
    <rPh sb="24" eb="25">
      <t>カイ</t>
    </rPh>
    <rPh sb="29" eb="31">
      <t>ノウフ</t>
    </rPh>
    <rPh sb="31" eb="33">
      <t>キンガク</t>
    </rPh>
    <rPh sb="34" eb="35">
      <t>タカ</t>
    </rPh>
    <phoneticPr fontId="2"/>
  </si>
  <si>
    <t>以下のいずれかに該当する世帯は、正確な保険料が計算されない場合があります。</t>
    <rPh sb="0" eb="2">
      <t>イカ</t>
    </rPh>
    <rPh sb="8" eb="10">
      <t>ガイトウ</t>
    </rPh>
    <rPh sb="12" eb="14">
      <t>セタイ</t>
    </rPh>
    <rPh sb="16" eb="18">
      <t>セイカク</t>
    </rPh>
    <rPh sb="19" eb="22">
      <t>ホケンリョウ</t>
    </rPh>
    <rPh sb="23" eb="25">
      <t>ケイサン</t>
    </rPh>
    <rPh sb="29" eb="31">
      <t>バアイ</t>
    </rPh>
    <phoneticPr fontId="2"/>
  </si>
  <si>
    <t>ご利用上の注意</t>
    <phoneticPr fontId="2"/>
  </si>
  <si>
    <t>－選択－</t>
    <rPh sb="1" eb="3">
      <t>センタク</t>
    </rPh>
    <phoneticPr fontId="2"/>
  </si>
  <si>
    <t>-</t>
    <phoneticPr fontId="2"/>
  </si>
  <si>
    <t>軽減判定</t>
    <rPh sb="0" eb="2">
      <t>ケイゲン</t>
    </rPh>
    <rPh sb="2" eb="4">
      <t>ハンテイ</t>
    </rPh>
    <phoneticPr fontId="2"/>
  </si>
  <si>
    <t>世帯主について入力してください</t>
    <rPh sb="0" eb="3">
      <t>セタイヌシ</t>
    </rPh>
    <rPh sb="7" eb="9">
      <t>ニュウリョク</t>
    </rPh>
    <phoneticPr fontId="2"/>
  </si>
  <si>
    <t>世帯主の国保加入の有無を入力してください</t>
    <rPh sb="0" eb="3">
      <t>セタイヌシ</t>
    </rPh>
    <rPh sb="4" eb="6">
      <t>コクホ</t>
    </rPh>
    <rPh sb="6" eb="8">
      <t>カニュウ</t>
    </rPh>
    <rPh sb="9" eb="11">
      <t>ウム</t>
    </rPh>
    <rPh sb="12" eb="14">
      <t>ニュウリョク</t>
    </rPh>
    <phoneticPr fontId="2"/>
  </si>
  <si>
    <t xml:space="preserve"> </t>
    <phoneticPr fontId="2"/>
  </si>
  <si>
    <t>年齢入力チェック</t>
    <rPh sb="0" eb="2">
      <t>ネンレイ</t>
    </rPh>
    <rPh sb="2" eb="4">
      <t>ニュウリョク</t>
    </rPh>
    <phoneticPr fontId="2"/>
  </si>
  <si>
    <t>収入を入力した場合、年齢も入力してください</t>
    <rPh sb="0" eb="2">
      <t>シュウニュウ</t>
    </rPh>
    <rPh sb="3" eb="5">
      <t>ニュウリョク</t>
    </rPh>
    <rPh sb="7" eb="9">
      <t>バアイ</t>
    </rPh>
    <rPh sb="10" eb="12">
      <t>ネンレイ</t>
    </rPh>
    <rPh sb="13" eb="15">
      <t>ニュウリョク</t>
    </rPh>
    <phoneticPr fontId="2"/>
  </si>
  <si>
    <t>内容</t>
    <rPh sb="0" eb="2">
      <t>ナイヨウ</t>
    </rPh>
    <phoneticPr fontId="2"/>
  </si>
  <si>
    <t>　・分離課税・繰越控除等の申告をした方がいる世帯</t>
    <rPh sb="2" eb="4">
      <t>ブンリ</t>
    </rPh>
    <rPh sb="4" eb="6">
      <t>カゼイ</t>
    </rPh>
    <rPh sb="7" eb="8">
      <t>ク</t>
    </rPh>
    <rPh sb="8" eb="9">
      <t>コ</t>
    </rPh>
    <rPh sb="9" eb="11">
      <t>コウジョ</t>
    </rPh>
    <rPh sb="11" eb="12">
      <t>ナド</t>
    </rPh>
    <rPh sb="13" eb="15">
      <t>シンコク</t>
    </rPh>
    <rPh sb="18" eb="19">
      <t>カタ</t>
    </rPh>
    <rPh sb="22" eb="24">
      <t>セタイ</t>
    </rPh>
    <phoneticPr fontId="2"/>
  </si>
  <si>
    <t>　・専従者控除または専従者給与がある方がいる世帯</t>
    <rPh sb="2" eb="5">
      <t>センジュウシャ</t>
    </rPh>
    <rPh sb="5" eb="7">
      <t>コウジョ</t>
    </rPh>
    <rPh sb="10" eb="13">
      <t>センジュウシャ</t>
    </rPh>
    <rPh sb="13" eb="15">
      <t>キュウヨ</t>
    </rPh>
    <rPh sb="18" eb="19">
      <t>カタ</t>
    </rPh>
    <rPh sb="22" eb="24">
      <t>セタイ</t>
    </rPh>
    <phoneticPr fontId="2"/>
  </si>
  <si>
    <t>　・非自発的失業にかかる保険料減額対象の方がいる世帯</t>
    <rPh sb="2" eb="6">
      <t>ヒジハツテキ</t>
    </rPh>
    <rPh sb="6" eb="8">
      <t>シツギョウ</t>
    </rPh>
    <rPh sb="12" eb="15">
      <t>ホケンリョウ</t>
    </rPh>
    <rPh sb="15" eb="19">
      <t>ゲンガクタイショウ</t>
    </rPh>
    <rPh sb="20" eb="21">
      <t>カタ</t>
    </rPh>
    <rPh sb="24" eb="26">
      <t>セタイ</t>
    </rPh>
    <phoneticPr fontId="2"/>
  </si>
  <si>
    <t>　・後期高齢者医療制度に切り替わる前に国保に加入していた方がいる世帯</t>
    <rPh sb="2" eb="7">
      <t>コウキコウレイシャ</t>
    </rPh>
    <rPh sb="7" eb="9">
      <t>イリョウ</t>
    </rPh>
    <rPh sb="9" eb="11">
      <t>セイド</t>
    </rPh>
    <rPh sb="12" eb="13">
      <t>キ</t>
    </rPh>
    <rPh sb="14" eb="15">
      <t>カ</t>
    </rPh>
    <rPh sb="17" eb="18">
      <t>マエ</t>
    </rPh>
    <rPh sb="19" eb="21">
      <t>コクホ</t>
    </rPh>
    <rPh sb="22" eb="24">
      <t>カニュウ</t>
    </rPh>
    <rPh sb="28" eb="29">
      <t>カタ</t>
    </rPh>
    <rPh sb="32" eb="34">
      <t>セタイ</t>
    </rPh>
    <phoneticPr fontId="2"/>
  </si>
  <si>
    <t>通常の保険料の納付は、年間保険料額を7月から翌年2月の年8回に分けて納付することになります。</t>
    <rPh sb="0" eb="2">
      <t>ツウジョウ</t>
    </rPh>
    <rPh sb="3" eb="6">
      <t>ホケンリョウ</t>
    </rPh>
    <rPh sb="7" eb="9">
      <t>ノウフ</t>
    </rPh>
    <rPh sb="11" eb="13">
      <t>ネンカン</t>
    </rPh>
    <rPh sb="13" eb="16">
      <t>ホケンリョウ</t>
    </rPh>
    <rPh sb="16" eb="17">
      <t>ガク</t>
    </rPh>
    <rPh sb="19" eb="20">
      <t>ガツ</t>
    </rPh>
    <rPh sb="22" eb="24">
      <t>ヨクネン</t>
    </rPh>
    <rPh sb="25" eb="26">
      <t>ガツ</t>
    </rPh>
    <rPh sb="27" eb="28">
      <t>ネン</t>
    </rPh>
    <rPh sb="29" eb="30">
      <t>カイ</t>
    </rPh>
    <rPh sb="31" eb="32">
      <t>ワ</t>
    </rPh>
    <rPh sb="34" eb="36">
      <t>ノウフ</t>
    </rPh>
    <phoneticPr fontId="2"/>
  </si>
  <si>
    <t>住民票上の世帯主（国民健康保険に加入しない場合も）及び国民健康保険加入者全員の年齢と収入及び所得を入力してください。</t>
    <rPh sb="0" eb="3">
      <t>ジュウミンヒョウ</t>
    </rPh>
    <rPh sb="3" eb="4">
      <t>ジョウ</t>
    </rPh>
    <rPh sb="5" eb="8">
      <t>セタイヌシ</t>
    </rPh>
    <rPh sb="9" eb="11">
      <t>コクミン</t>
    </rPh>
    <rPh sb="11" eb="13">
      <t>ケンコウ</t>
    </rPh>
    <rPh sb="13" eb="15">
      <t>ホケン</t>
    </rPh>
    <rPh sb="16" eb="18">
      <t>カニュウ</t>
    </rPh>
    <rPh sb="21" eb="23">
      <t>バアイ</t>
    </rPh>
    <rPh sb="25" eb="26">
      <t>オヨ</t>
    </rPh>
    <rPh sb="27" eb="29">
      <t>コクミン</t>
    </rPh>
    <rPh sb="29" eb="31">
      <t>ケンコウ</t>
    </rPh>
    <rPh sb="31" eb="33">
      <t>ホケン</t>
    </rPh>
    <rPh sb="33" eb="36">
      <t>カニュウシャ</t>
    </rPh>
    <rPh sb="36" eb="38">
      <t>ゼンイン</t>
    </rPh>
    <rPh sb="39" eb="41">
      <t>ネンレイ</t>
    </rPh>
    <rPh sb="42" eb="44">
      <t>シュウニュウ</t>
    </rPh>
    <rPh sb="44" eb="45">
      <t>オヨ</t>
    </rPh>
    <rPh sb="46" eb="48">
      <t>ショトク</t>
    </rPh>
    <rPh sb="49" eb="51">
      <t>ニュウリョク</t>
    </rPh>
    <phoneticPr fontId="2"/>
  </si>
  <si>
    <t>世帯主及び加入者の収入が分かるものをご用意ください。</t>
    <rPh sb="0" eb="3">
      <t>セタイヌシ</t>
    </rPh>
    <rPh sb="3" eb="4">
      <t>オヨ</t>
    </rPh>
    <rPh sb="5" eb="8">
      <t>カニュウシャ</t>
    </rPh>
    <rPh sb="9" eb="11">
      <t>シュウニュウ</t>
    </rPh>
    <rPh sb="12" eb="13">
      <t>ワ</t>
    </rPh>
    <rPh sb="19" eb="21">
      <t>ヨウイ</t>
    </rPh>
    <phoneticPr fontId="2"/>
  </si>
  <si>
    <r>
      <t>給与及び年金については</t>
    </r>
    <r>
      <rPr>
        <b/>
        <u/>
        <sz val="14"/>
        <color theme="1"/>
        <rFont val="FUJ明朝体"/>
        <family val="1"/>
        <charset val="128"/>
      </rPr>
      <t>収入</t>
    </r>
    <r>
      <rPr>
        <sz val="14"/>
        <color theme="1"/>
        <rFont val="FUJ明朝体"/>
        <family val="1"/>
        <charset val="128"/>
      </rPr>
      <t>を入力してください。</t>
    </r>
    <rPh sb="0" eb="2">
      <t>キュウヨ</t>
    </rPh>
    <rPh sb="2" eb="3">
      <t>オヨ</t>
    </rPh>
    <rPh sb="4" eb="6">
      <t>ネンキン</t>
    </rPh>
    <rPh sb="11" eb="13">
      <t>シュウニュウ</t>
    </rPh>
    <rPh sb="14" eb="16">
      <t>ニュウリョク</t>
    </rPh>
    <phoneticPr fontId="2"/>
  </si>
  <si>
    <r>
      <t>後期高齢者医療制度（75歳以上の方など）の加入者は、</t>
    </r>
    <r>
      <rPr>
        <u/>
        <sz val="14"/>
        <rFont val="FUJ明朝体"/>
        <family val="1"/>
        <charset val="128"/>
      </rPr>
      <t>国民健康保険に</t>
    </r>
    <r>
      <rPr>
        <b/>
        <u/>
        <sz val="14"/>
        <rFont val="FUJ明朝体"/>
        <family val="1"/>
        <charset val="128"/>
      </rPr>
      <t>加入しない</t>
    </r>
    <r>
      <rPr>
        <sz val="14"/>
        <rFont val="FUJ明朝体"/>
        <family val="1"/>
        <charset val="128"/>
      </rPr>
      <t>を選択してください。</t>
    </r>
    <rPh sb="12" eb="13">
      <t>サイ</t>
    </rPh>
    <rPh sb="13" eb="15">
      <t>イジョウ</t>
    </rPh>
    <rPh sb="16" eb="17">
      <t>カタ</t>
    </rPh>
    <rPh sb="21" eb="24">
      <t>カニュウシャ</t>
    </rPh>
    <rPh sb="26" eb="28">
      <t>コクミン</t>
    </rPh>
    <rPh sb="28" eb="30">
      <t>ケンコウ</t>
    </rPh>
    <rPh sb="30" eb="32">
      <t>ホケン</t>
    </rPh>
    <rPh sb="33" eb="35">
      <t>カニュウ</t>
    </rPh>
    <rPh sb="39" eb="41">
      <t>センタク</t>
    </rPh>
    <phoneticPr fontId="2"/>
  </si>
  <si>
    <t>　・世帯員同士で国民健康保険に加入する月またはやめる月が異なる世帯</t>
    <rPh sb="2" eb="5">
      <t>セタイイン</t>
    </rPh>
    <rPh sb="5" eb="7">
      <t>ドウシ</t>
    </rPh>
    <rPh sb="8" eb="10">
      <t>コクミン</t>
    </rPh>
    <rPh sb="10" eb="12">
      <t>ケンコウ</t>
    </rPh>
    <rPh sb="12" eb="14">
      <t>ホケン</t>
    </rPh>
    <rPh sb="15" eb="17">
      <t>カニュウ</t>
    </rPh>
    <rPh sb="19" eb="20">
      <t>ツキ</t>
    </rPh>
    <rPh sb="26" eb="27">
      <t>ツキ</t>
    </rPh>
    <rPh sb="28" eb="29">
      <t>コト</t>
    </rPh>
    <rPh sb="31" eb="33">
      <t>セタイ</t>
    </rPh>
    <phoneticPr fontId="2"/>
  </si>
  <si>
    <t>エラーコード</t>
    <phoneticPr fontId="2"/>
  </si>
  <si>
    <t>パラメータ</t>
    <phoneticPr fontId="2"/>
  </si>
  <si>
    <t>世帯主が国保加入でない場合、所得割（保険料）計算の対象外ですが、軽減判定額は対象となります。</t>
    <rPh sb="0" eb="3">
      <t>セタイヌシ</t>
    </rPh>
    <rPh sb="4" eb="6">
      <t>コクホ</t>
    </rPh>
    <rPh sb="6" eb="8">
      <t>カニュウ</t>
    </rPh>
    <rPh sb="11" eb="13">
      <t>バアイ</t>
    </rPh>
    <rPh sb="14" eb="16">
      <t>ショトク</t>
    </rPh>
    <rPh sb="16" eb="17">
      <t>ワリ</t>
    </rPh>
    <rPh sb="18" eb="21">
      <t>ホケンリョウ</t>
    </rPh>
    <rPh sb="22" eb="24">
      <t>ケイサン</t>
    </rPh>
    <rPh sb="25" eb="28">
      <t>タイショウガイ</t>
    </rPh>
    <rPh sb="32" eb="34">
      <t>ケイゲン</t>
    </rPh>
    <rPh sb="34" eb="36">
      <t>ハンテイ</t>
    </rPh>
    <rPh sb="36" eb="37">
      <t>ガク</t>
    </rPh>
    <rPh sb="38" eb="40">
      <t>タイショウ</t>
    </rPh>
    <phoneticPr fontId="2"/>
  </si>
  <si>
    <t>リスト</t>
    <phoneticPr fontId="2"/>
  </si>
  <si>
    <t>令和6年度　沼津市国民健康保険料簡易試算シート</t>
    <rPh sb="3" eb="5">
      <t>ネンド</t>
    </rPh>
    <rPh sb="6" eb="9">
      <t>ヌマヅシ</t>
    </rPh>
    <rPh sb="9" eb="11">
      <t>コクミン</t>
    </rPh>
    <rPh sb="11" eb="13">
      <t>ケンコウ</t>
    </rPh>
    <rPh sb="13" eb="16">
      <t>ホケンリョウ</t>
    </rPh>
    <rPh sb="16" eb="18">
      <t>カンイ</t>
    </rPh>
    <rPh sb="18" eb="20">
      <t>シサン</t>
    </rPh>
    <phoneticPr fontId="2"/>
  </si>
  <si>
    <t>　令和6年度（令和6年4月から令和7年3月まで）の国民健康保険料がいくらになるか試算することができます。</t>
    <rPh sb="4" eb="6">
      <t>ネンド</t>
    </rPh>
    <rPh sb="10" eb="11">
      <t>ネン</t>
    </rPh>
    <rPh sb="12" eb="13">
      <t>ガツ</t>
    </rPh>
    <rPh sb="18" eb="19">
      <t>ネン</t>
    </rPh>
    <rPh sb="20" eb="21">
      <t>ツキ</t>
    </rPh>
    <rPh sb="25" eb="27">
      <t>コクミン</t>
    </rPh>
    <rPh sb="27" eb="29">
      <t>ケンコウ</t>
    </rPh>
    <rPh sb="29" eb="31">
      <t>ホケン</t>
    </rPh>
    <rPh sb="31" eb="32">
      <t>リョウ</t>
    </rPh>
    <rPh sb="40" eb="42">
      <t>シサン</t>
    </rPh>
    <phoneticPr fontId="2"/>
  </si>
  <si>
    <t>　※年齢は令和6年４月１日現在で入力してください。</t>
    <rPh sb="2" eb="4">
      <t>ネンレイ</t>
    </rPh>
    <rPh sb="8" eb="9">
      <t>ネン</t>
    </rPh>
    <rPh sb="10" eb="11">
      <t>ガツ</t>
    </rPh>
    <rPh sb="12" eb="13">
      <t>ニチ</t>
    </rPh>
    <rPh sb="13" eb="15">
      <t>ゲンザイ</t>
    </rPh>
    <rPh sb="16" eb="18">
      <t>ニュウリョク</t>
    </rPh>
    <phoneticPr fontId="2"/>
  </si>
  <si>
    <t>　・令和6年度の途中で40歳・65歳・66歳・75歳になる（なった）方がいる世帯</t>
    <rPh sb="5" eb="7">
      <t>ネンド</t>
    </rPh>
    <rPh sb="8" eb="10">
      <t>トチュウ</t>
    </rPh>
    <rPh sb="13" eb="14">
      <t>サイ</t>
    </rPh>
    <rPh sb="17" eb="18">
      <t>サイ</t>
    </rPh>
    <rPh sb="21" eb="22">
      <t>サイ</t>
    </rPh>
    <rPh sb="25" eb="26">
      <t>サイ</t>
    </rPh>
    <rPh sb="34" eb="35">
      <t>カタ</t>
    </rPh>
    <rPh sb="38" eb="40">
      <t>セタイ</t>
    </rPh>
    <phoneticPr fontId="2"/>
  </si>
  <si>
    <t>　・確定申告をした方は確定申告書の写し（令和5年分）</t>
    <rPh sb="2" eb="4">
      <t>カクテイ</t>
    </rPh>
    <rPh sb="4" eb="6">
      <t>シンコク</t>
    </rPh>
    <rPh sb="9" eb="10">
      <t>カタ</t>
    </rPh>
    <rPh sb="11" eb="13">
      <t>カクテイ</t>
    </rPh>
    <rPh sb="13" eb="15">
      <t>シンコク</t>
    </rPh>
    <rPh sb="15" eb="16">
      <t>ショ</t>
    </rPh>
    <rPh sb="17" eb="18">
      <t>ウツ</t>
    </rPh>
    <rPh sb="23" eb="25">
      <t>ネンブン</t>
    </rPh>
    <phoneticPr fontId="2"/>
  </si>
  <si>
    <t>　・確定申告をしていない方は給与または年金の源泉徴収票（令和5年分）　など</t>
    <rPh sb="2" eb="4">
      <t>カクテイ</t>
    </rPh>
    <rPh sb="4" eb="6">
      <t>シンコク</t>
    </rPh>
    <rPh sb="12" eb="13">
      <t>カタ</t>
    </rPh>
    <rPh sb="14" eb="16">
      <t>キュウヨ</t>
    </rPh>
    <rPh sb="19" eb="21">
      <t>ネンキン</t>
    </rPh>
    <rPh sb="22" eb="24">
      <t>ゲンセン</t>
    </rPh>
    <rPh sb="24" eb="26">
      <t>チョウシュウ</t>
    </rPh>
    <rPh sb="26" eb="27">
      <t>ヒョウ</t>
    </rPh>
    <rPh sb="31" eb="33">
      <t>ネンブン</t>
    </rPh>
    <phoneticPr fontId="2"/>
  </si>
  <si>
    <t>　・令和5年中の所得を申告していない世帯</t>
    <rPh sb="5" eb="6">
      <t>ネン</t>
    </rPh>
    <rPh sb="6" eb="7">
      <t>ナカ</t>
    </rPh>
    <rPh sb="8" eb="10">
      <t>ショトク</t>
    </rPh>
    <rPh sb="11" eb="13">
      <t>シンコク</t>
    </rPh>
    <rPh sb="18" eb="20">
      <t>セタイ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</si>
</sst>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23"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FUJ明朝体"/>
      <family val="1"/>
      <charset val="128"/>
    </font>
    <font>
      <sz val="6"/>
      <name val="ＭＳ Ｐゴシック"/>
      <family val="3"/>
      <charset val="128"/>
    </font>
    <font>
      <sz val="11"/>
      <name val="ＭＳ Ｐゴシック"/>
      <family val="3"/>
      <charset val="128"/>
    </font>
    <font>
      <sz val="11"/>
      <color theme="1"/>
      <name val="HG丸ｺﾞｼｯｸM-PRO"/>
      <family val="3"/>
      <charset val="128"/>
    </font>
    <font>
      <b/>
      <sz val="9"/>
      <color theme="1"/>
      <name val="HG丸ｺﾞｼｯｸM-PRO"/>
      <family val="3"/>
      <charset val="128"/>
    </font>
    <font>
      <sz val="9"/>
      <name val="HG丸ｺﾞｼｯｸM-PRO"/>
      <family val="3"/>
      <charset val="128"/>
    </font>
    <font>
      <b/>
      <sz val="9"/>
      <color rgb="FF222222"/>
      <name val="HG丸ｺﾞｼｯｸM-PRO"/>
      <family val="3"/>
      <charset val="128"/>
    </font>
    <font>
      <sz val="9"/>
      <color rgb="FF222222"/>
      <name val="HG丸ｺﾞｼｯｸM-PRO"/>
      <family val="3"/>
      <charset val="128"/>
    </font>
    <font>
      <b/>
      <sz val="11"/>
      <color theme="1"/>
      <name val="FUJ明朝体"/>
      <family val="1"/>
      <charset val="128"/>
    </font>
    <font>
      <sz val="14"/>
      <color theme="1"/>
      <name val="FUJ明朝体"/>
      <family val="1"/>
      <charset val="128"/>
    </font>
    <font>
      <b/>
      <sz val="20"/>
      <color theme="1"/>
      <name val="FUJ明朝体"/>
      <family val="1"/>
      <charset val="128"/>
    </font>
    <font>
      <sz val="12"/>
      <color theme="1"/>
      <name val="FUJ明朝体"/>
      <family val="1"/>
      <charset val="128"/>
    </font>
    <font>
      <b/>
      <u/>
      <sz val="14"/>
      <color theme="1"/>
      <name val="FUJ明朝体"/>
      <family val="1"/>
      <charset val="128"/>
    </font>
    <font>
      <b/>
      <sz val="14"/>
      <color theme="1"/>
      <name val="FUJ明朝体"/>
      <family val="1"/>
      <charset val="128"/>
    </font>
    <font>
      <b/>
      <sz val="18"/>
      <color theme="1"/>
      <name val="FUJ明朝体"/>
      <family val="1"/>
      <charset val="128"/>
    </font>
    <font>
      <b/>
      <u/>
      <sz val="16"/>
      <name val="FUJ明朝体"/>
      <family val="1"/>
      <charset val="128"/>
    </font>
    <font>
      <sz val="14"/>
      <name val="FUJ明朝体"/>
      <family val="1"/>
      <charset val="128"/>
    </font>
    <font>
      <u/>
      <sz val="14"/>
      <name val="FUJ明朝体"/>
      <family val="1"/>
      <charset val="128"/>
    </font>
    <font>
      <b/>
      <u/>
      <sz val="14"/>
      <name val="FUJ明朝体"/>
      <family val="1"/>
      <charset val="128"/>
    </font>
    <font>
      <b/>
      <sz val="11"/>
      <color rgb="FFFF0000"/>
      <name val="FUJ明朝体"/>
      <family val="1"/>
      <charset val="128"/>
    </font>
  </fonts>
  <fills count="7">
    <fill>
      <patternFill patternType="none"/>
    </fill>
    <fill>
      <patternFill patternType="gray125"/>
    </fill>
    <fill>
      <patternFill patternType="solid">
        <fgColor rgb="FFFFFF00"/>
        <bgColor indexed="64"/>
      </patternFill>
    </fill>
    <fill>
      <patternFill patternType="solid">
        <fgColor rgb="FFF1FF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9" fontId="1" fillId="0" borderId="0" applyFont="0" applyFill="0" applyBorder="0" applyAlignment="0" applyProtection="0">
      <alignment vertical="center"/>
    </xf>
  </cellStyleXfs>
  <cellXfs count="222">
    <xf numFmtId="0" fontId="0" fillId="0" borderId="0" xfId="0"/>
    <xf numFmtId="0" fontId="3" fillId="0" borderId="0" xfId="0" applyFont="1"/>
    <xf numFmtId="0" fontId="3" fillId="0" borderId="0" xfId="0" applyFont="1" applyAlignment="1">
      <alignment horizontal="right"/>
    </xf>
    <xf numFmtId="38" fontId="3" fillId="0" borderId="0" xfId="1" applyFont="1" applyAlignment="1"/>
    <xf numFmtId="0" fontId="3" fillId="0" borderId="0" xfId="0" applyFont="1" applyAlignment="1">
      <alignment wrapText="1"/>
    </xf>
    <xf numFmtId="38" fontId="3" fillId="0" borderId="0" xfId="0" applyNumberFormat="1" applyFont="1"/>
    <xf numFmtId="38" fontId="7" fillId="4" borderId="0" xfId="2" applyFont="1" applyFill="1" applyBorder="1" applyAlignment="1">
      <alignment vertical="center"/>
    </xf>
    <xf numFmtId="38" fontId="6" fillId="3" borderId="1" xfId="2" applyFont="1" applyFill="1" applyBorder="1">
      <alignment vertical="center"/>
    </xf>
    <xf numFmtId="38" fontId="3" fillId="0" borderId="1" xfId="0" applyNumberFormat="1" applyFont="1" applyBorder="1"/>
    <xf numFmtId="38" fontId="7" fillId="5" borderId="0" xfId="2" applyFont="1" applyFill="1" applyBorder="1" applyAlignment="1">
      <alignment vertical="center"/>
    </xf>
    <xf numFmtId="0" fontId="8" fillId="0" borderId="0" xfId="0" applyFont="1" applyAlignment="1">
      <alignment vertical="center"/>
    </xf>
    <xf numFmtId="0" fontId="8" fillId="0" borderId="0" xfId="3" applyFont="1">
      <alignment vertical="center"/>
    </xf>
    <xf numFmtId="0" fontId="10" fillId="0" borderId="0" xfId="3" applyFont="1" applyAlignment="1">
      <alignment horizontal="center" vertical="center" wrapText="1"/>
    </xf>
    <xf numFmtId="38" fontId="0" fillId="0" borderId="1" xfId="0" applyNumberFormat="1" applyBorder="1"/>
    <xf numFmtId="38" fontId="10" fillId="5" borderId="1" xfId="1" applyFont="1" applyFill="1" applyBorder="1" applyAlignment="1">
      <alignment horizontal="center" vertical="center" wrapText="1"/>
    </xf>
    <xf numFmtId="38" fontId="10" fillId="4" borderId="1" xfId="1" applyFont="1" applyFill="1" applyBorder="1" applyAlignment="1">
      <alignment horizontal="center" vertical="center" wrapText="1"/>
    </xf>
    <xf numFmtId="0" fontId="0" fillId="0" borderId="10" xfId="0" applyBorder="1" applyAlignment="1">
      <alignment horizontal="center"/>
    </xf>
    <xf numFmtId="0" fontId="9" fillId="0" borderId="11" xfId="3" applyFont="1" applyBorder="1" applyAlignment="1">
      <alignment horizontal="center" vertical="center" wrapText="1"/>
    </xf>
    <xf numFmtId="0" fontId="10" fillId="5" borderId="11" xfId="3" applyFont="1" applyFill="1" applyBorder="1" applyAlignment="1">
      <alignment horizontal="center" vertical="center" wrapText="1"/>
    </xf>
    <xf numFmtId="0" fontId="10" fillId="4" borderId="11" xfId="3" applyFont="1" applyFill="1" applyBorder="1" applyAlignment="1">
      <alignment horizontal="center" vertical="center" wrapText="1"/>
    </xf>
    <xf numFmtId="0" fontId="9" fillId="0" borderId="10" xfId="3" applyFont="1" applyBorder="1" applyAlignment="1">
      <alignment horizontal="center" vertical="center" wrapText="1"/>
    </xf>
    <xf numFmtId="0" fontId="10" fillId="5" borderId="10" xfId="3" applyFont="1" applyFill="1" applyBorder="1" applyAlignment="1">
      <alignment horizontal="center" vertical="center" wrapText="1"/>
    </xf>
    <xf numFmtId="0" fontId="10" fillId="4" borderId="10" xfId="3" applyFont="1" applyFill="1" applyBorder="1" applyAlignment="1">
      <alignment horizontal="center" vertical="center" wrapText="1"/>
    </xf>
    <xf numFmtId="0" fontId="9" fillId="0" borderId="13"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15" xfId="3" applyFont="1" applyBorder="1" applyAlignment="1">
      <alignment horizontal="center" vertical="center" wrapText="1"/>
    </xf>
    <xf numFmtId="0" fontId="10" fillId="5" borderId="16" xfId="3" applyFont="1" applyFill="1" applyBorder="1" applyAlignment="1">
      <alignment horizontal="center" vertical="center" wrapText="1"/>
    </xf>
    <xf numFmtId="0" fontId="10" fillId="5" borderId="17" xfId="3" applyFont="1" applyFill="1" applyBorder="1" applyAlignment="1">
      <alignment horizontal="center" vertical="center" wrapText="1"/>
    </xf>
    <xf numFmtId="0" fontId="10" fillId="4" borderId="16" xfId="3" applyFont="1" applyFill="1" applyBorder="1" applyAlignment="1">
      <alignment horizontal="center" vertical="center" wrapText="1"/>
    </xf>
    <xf numFmtId="0" fontId="10" fillId="4" borderId="17" xfId="3" applyFont="1" applyFill="1" applyBorder="1" applyAlignment="1">
      <alignment horizontal="center" vertical="center" wrapText="1"/>
    </xf>
    <xf numFmtId="0" fontId="10" fillId="4" borderId="18" xfId="3" applyFont="1" applyFill="1" applyBorder="1" applyAlignment="1">
      <alignment horizontal="center" vertical="center" wrapText="1"/>
    </xf>
    <xf numFmtId="38" fontId="10" fillId="4" borderId="19" xfId="1" applyFont="1" applyFill="1" applyBorder="1" applyAlignment="1">
      <alignment horizontal="center" vertical="center" wrapText="1"/>
    </xf>
    <xf numFmtId="0" fontId="10" fillId="4" borderId="20" xfId="3" applyFont="1" applyFill="1" applyBorder="1" applyAlignment="1">
      <alignment horizontal="center" vertical="center" wrapText="1"/>
    </xf>
    <xf numFmtId="0" fontId="10" fillId="0" borderId="11" xfId="3" applyFont="1" applyBorder="1" applyAlignment="1">
      <alignment horizontal="center" vertical="center" wrapText="1"/>
    </xf>
    <xf numFmtId="38" fontId="10" fillId="5" borderId="11" xfId="1" applyFont="1" applyFill="1" applyBorder="1" applyAlignment="1">
      <alignment horizontal="center" vertical="center" wrapText="1"/>
    </xf>
    <xf numFmtId="38" fontId="10" fillId="4" borderId="11" xfId="1" applyFont="1" applyFill="1" applyBorder="1" applyAlignment="1">
      <alignment horizontal="center" vertical="center" wrapText="1"/>
    </xf>
    <xf numFmtId="0" fontId="10" fillId="0" borderId="13"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15" xfId="3" applyFont="1" applyBorder="1" applyAlignment="1">
      <alignment horizontal="center" vertical="center" wrapText="1"/>
    </xf>
    <xf numFmtId="38" fontId="0" fillId="0" borderId="16" xfId="0" applyNumberFormat="1" applyBorder="1"/>
    <xf numFmtId="38" fontId="0" fillId="0" borderId="17" xfId="0" applyNumberFormat="1" applyBorder="1"/>
    <xf numFmtId="38" fontId="10" fillId="5" borderId="16" xfId="1" applyFont="1" applyFill="1" applyBorder="1" applyAlignment="1">
      <alignment horizontal="center" vertical="center" wrapText="1"/>
    </xf>
    <xf numFmtId="38" fontId="10" fillId="5" borderId="17" xfId="1" applyFont="1" applyFill="1" applyBorder="1" applyAlignment="1">
      <alignment horizontal="center" vertical="center" wrapText="1"/>
    </xf>
    <xf numFmtId="38" fontId="10" fillId="4" borderId="16" xfId="1" applyFont="1" applyFill="1" applyBorder="1" applyAlignment="1">
      <alignment horizontal="center" vertical="center" wrapText="1"/>
    </xf>
    <xf numFmtId="38" fontId="10" fillId="4" borderId="17" xfId="1" applyFont="1" applyFill="1" applyBorder="1" applyAlignment="1">
      <alignment horizontal="center" vertical="center" wrapText="1"/>
    </xf>
    <xf numFmtId="38" fontId="10" fillId="4" borderId="18" xfId="1" applyFont="1" applyFill="1" applyBorder="1" applyAlignment="1">
      <alignment horizontal="center" vertical="center" wrapText="1"/>
    </xf>
    <xf numFmtId="38" fontId="10" fillId="4" borderId="20" xfId="1" applyFont="1" applyFill="1" applyBorder="1" applyAlignment="1">
      <alignment horizontal="center" vertical="center" wrapText="1"/>
    </xf>
    <xf numFmtId="0" fontId="0" fillId="2" borderId="10" xfId="0" applyFill="1" applyBorder="1" applyAlignment="1">
      <alignment horizontal="center"/>
    </xf>
    <xf numFmtId="38" fontId="6" fillId="3" borderId="11" xfId="2" applyFont="1" applyFill="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38" fontId="3" fillId="0" borderId="16" xfId="0" applyNumberFormat="1" applyFont="1" applyBorder="1"/>
    <xf numFmtId="38" fontId="3" fillId="0" borderId="17" xfId="0" applyNumberFormat="1" applyFont="1" applyBorder="1"/>
    <xf numFmtId="38" fontId="6" fillId="3" borderId="16" xfId="2" applyFont="1" applyFill="1" applyBorder="1">
      <alignment vertical="center"/>
    </xf>
    <xf numFmtId="38" fontId="6" fillId="3" borderId="17" xfId="2" applyFont="1" applyFill="1" applyBorder="1">
      <alignment vertical="center"/>
    </xf>
    <xf numFmtId="38" fontId="6" fillId="3" borderId="18" xfId="2" applyFont="1" applyFill="1" applyBorder="1">
      <alignment vertical="center"/>
    </xf>
    <xf numFmtId="38" fontId="6" fillId="3" borderId="19" xfId="2" applyFont="1" applyFill="1" applyBorder="1">
      <alignment vertical="center"/>
    </xf>
    <xf numFmtId="38" fontId="6" fillId="3" borderId="20" xfId="2" applyFont="1" applyFill="1" applyBorder="1">
      <alignment vertical="center"/>
    </xf>
    <xf numFmtId="38" fontId="0" fillId="2" borderId="22" xfId="0" applyNumberFormat="1" applyFill="1" applyBorder="1"/>
    <xf numFmtId="38" fontId="0" fillId="2" borderId="23" xfId="0" applyNumberFormat="1" applyFill="1" applyBorder="1"/>
    <xf numFmtId="38" fontId="0" fillId="2" borderId="24" xfId="0" applyNumberFormat="1" applyFill="1" applyBorder="1"/>
    <xf numFmtId="38" fontId="6" fillId="3" borderId="10" xfId="2" applyFont="1" applyFill="1" applyBorder="1" applyAlignment="1">
      <alignment horizontal="right" vertical="center"/>
    </xf>
    <xf numFmtId="176" fontId="6" fillId="3" borderId="10" xfId="2" applyNumberFormat="1" applyFont="1" applyFill="1" applyBorder="1" applyAlignment="1">
      <alignment horizontal="right"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38" fontId="6" fillId="3" borderId="17" xfId="2" applyFont="1" applyFill="1" applyBorder="1" applyAlignment="1">
      <alignment horizontal="right" vertical="center"/>
    </xf>
    <xf numFmtId="38" fontId="6" fillId="3" borderId="20" xfId="2" applyFont="1" applyFill="1" applyBorder="1" applyAlignment="1">
      <alignment horizontal="right" vertical="center"/>
    </xf>
    <xf numFmtId="38" fontId="3" fillId="6" borderId="16" xfId="1" applyFont="1" applyFill="1" applyBorder="1" applyAlignment="1"/>
    <xf numFmtId="38" fontId="3" fillId="6" borderId="1" xfId="1" applyFont="1" applyFill="1" applyBorder="1" applyAlignment="1"/>
    <xf numFmtId="38" fontId="3" fillId="6" borderId="17" xfId="1" applyFont="1" applyFill="1" applyBorder="1" applyAlignment="1"/>
    <xf numFmtId="38" fontId="3" fillId="6" borderId="18" xfId="1" applyFont="1" applyFill="1" applyBorder="1" applyAlignment="1"/>
    <xf numFmtId="38" fontId="3" fillId="6" borderId="19" xfId="1" applyFont="1" applyFill="1" applyBorder="1" applyAlignment="1"/>
    <xf numFmtId="38" fontId="3" fillId="6" borderId="20" xfId="1" applyFont="1" applyFill="1" applyBorder="1" applyAlignment="1"/>
    <xf numFmtId="0" fontId="3" fillId="0" borderId="0" xfId="0" applyFont="1" applyAlignment="1">
      <alignment horizontal="right" wrapText="1"/>
    </xf>
    <xf numFmtId="38" fontId="3" fillId="0" borderId="0" xfId="1" applyFont="1" applyFill="1" applyAlignment="1"/>
    <xf numFmtId="38" fontId="10" fillId="2" borderId="27" xfId="1" applyFont="1" applyFill="1" applyBorder="1" applyAlignment="1">
      <alignment horizontal="center" vertical="center" wrapText="1"/>
    </xf>
    <xf numFmtId="38" fontId="10" fillId="2" borderId="28" xfId="1" applyFont="1" applyFill="1" applyBorder="1" applyAlignment="1">
      <alignment horizontal="center" vertical="center" wrapText="1"/>
    </xf>
    <xf numFmtId="38" fontId="10" fillId="2" borderId="29" xfId="1" applyFont="1" applyFill="1" applyBorder="1" applyAlignment="1">
      <alignment horizontal="center" vertical="center" wrapText="1"/>
    </xf>
    <xf numFmtId="38" fontId="10" fillId="5" borderId="30" xfId="1" applyFont="1" applyFill="1" applyBorder="1" applyAlignment="1">
      <alignment horizontal="center" vertical="center" wrapText="1"/>
    </xf>
    <xf numFmtId="38" fontId="10" fillId="5" borderId="21" xfId="1" applyFont="1" applyFill="1" applyBorder="1" applyAlignment="1">
      <alignment horizontal="center" vertical="center" wrapText="1"/>
    </xf>
    <xf numFmtId="38" fontId="10" fillId="5" borderId="31" xfId="1" applyFont="1" applyFill="1" applyBorder="1" applyAlignment="1">
      <alignment horizontal="center" vertical="center" wrapText="1"/>
    </xf>
    <xf numFmtId="38" fontId="0" fillId="0" borderId="18" xfId="1" applyFont="1" applyBorder="1" applyAlignment="1"/>
    <xf numFmtId="38" fontId="0" fillId="0" borderId="19" xfId="1" applyFont="1" applyBorder="1" applyAlignment="1"/>
    <xf numFmtId="38" fontId="0" fillId="0" borderId="20" xfId="1" applyFont="1" applyBorder="1" applyAlignment="1"/>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5"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3" fillId="0" borderId="38" xfId="0" applyFont="1" applyBorder="1" applyAlignment="1">
      <alignment horizontal="center" vertical="center" wrapText="1"/>
    </xf>
    <xf numFmtId="38" fontId="3" fillId="0" borderId="38" xfId="1" applyFont="1" applyFill="1" applyBorder="1" applyAlignment="1"/>
    <xf numFmtId="0" fontId="12" fillId="0" borderId="0" xfId="0" applyFont="1" applyAlignment="1">
      <alignment horizontal="right" vertical="center"/>
    </xf>
    <xf numFmtId="0" fontId="14" fillId="0" borderId="0" xfId="0" applyFont="1"/>
    <xf numFmtId="0" fontId="3" fillId="0" borderId="12" xfId="0" applyFont="1" applyBorder="1" applyAlignment="1">
      <alignment vertical="top" wrapText="1"/>
    </xf>
    <xf numFmtId="0" fontId="3" fillId="0" borderId="12" xfId="0" applyFont="1" applyBorder="1"/>
    <xf numFmtId="0" fontId="3" fillId="0" borderId="8" xfId="0" applyFont="1" applyBorder="1" applyAlignment="1">
      <alignment vertical="top" wrapText="1"/>
    </xf>
    <xf numFmtId="0" fontId="3" fillId="0" borderId="7" xfId="0" applyFont="1" applyBorder="1" applyAlignment="1">
      <alignment vertical="top" wrapText="1"/>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25" xfId="0" applyFont="1" applyBorder="1" applyAlignment="1">
      <alignment vertical="center"/>
    </xf>
    <xf numFmtId="0" fontId="3" fillId="0" borderId="1" xfId="0" applyFont="1" applyBorder="1" applyAlignment="1">
      <alignment vertical="center"/>
    </xf>
    <xf numFmtId="10" fontId="3" fillId="0" borderId="1" xfId="4" applyNumberFormat="1" applyFont="1" applyFill="1" applyBorder="1" applyAlignment="1">
      <alignment vertical="center"/>
    </xf>
    <xf numFmtId="0" fontId="3" fillId="0" borderId="26" xfId="0" applyFont="1" applyBorder="1" applyAlignment="1">
      <alignment vertical="center"/>
    </xf>
    <xf numFmtId="38" fontId="3" fillId="0" borderId="1" xfId="1" applyFont="1" applyFill="1" applyBorder="1" applyAlignment="1">
      <alignment vertical="center"/>
    </xf>
    <xf numFmtId="0" fontId="3" fillId="0" borderId="1" xfId="0" quotePrefix="1" applyFont="1" applyBorder="1" applyAlignment="1">
      <alignment vertical="center"/>
    </xf>
    <xf numFmtId="0" fontId="3" fillId="0" borderId="21" xfId="0" applyFont="1" applyBorder="1" applyAlignment="1">
      <alignment vertical="center"/>
    </xf>
    <xf numFmtId="38" fontId="3" fillId="0" borderId="0" xfId="1" applyFont="1" applyFill="1" applyBorder="1" applyAlignment="1">
      <alignment vertical="center"/>
    </xf>
    <xf numFmtId="0" fontId="3" fillId="0" borderId="0" xfId="0" applyFont="1" applyAlignment="1">
      <alignment vertical="center" wrapText="1"/>
    </xf>
    <xf numFmtId="38" fontId="3" fillId="0" borderId="17" xfId="1" applyFont="1" applyFill="1" applyBorder="1" applyAlignment="1">
      <alignment vertical="center"/>
    </xf>
    <xf numFmtId="0" fontId="3" fillId="0" borderId="16" xfId="0" applyFont="1" applyBorder="1" applyAlignment="1">
      <alignment vertical="center"/>
    </xf>
    <xf numFmtId="38" fontId="3" fillId="0" borderId="20" xfId="1" applyFont="1" applyFill="1" applyBorder="1" applyAlignment="1">
      <alignment vertical="center"/>
    </xf>
    <xf numFmtId="0" fontId="3" fillId="0" borderId="18" xfId="0" applyFont="1" applyBorder="1" applyAlignment="1">
      <alignment vertical="center"/>
    </xf>
    <xf numFmtId="38" fontId="3" fillId="0" borderId="19" xfId="1" applyFont="1" applyFill="1" applyBorder="1" applyAlignment="1">
      <alignment vertical="center"/>
    </xf>
    <xf numFmtId="177" fontId="3" fillId="0" borderId="0" xfId="0" applyNumberFormat="1" applyFont="1" applyAlignment="1">
      <alignment vertical="center"/>
    </xf>
    <xf numFmtId="0" fontId="3" fillId="0" borderId="7" xfId="0" applyFont="1" applyBorder="1" applyAlignment="1">
      <alignment horizontal="center" vertical="center"/>
    </xf>
    <xf numFmtId="0" fontId="3" fillId="0" borderId="25" xfId="0" applyFont="1" applyBorder="1" applyAlignment="1">
      <alignment vertical="center" wrapText="1"/>
    </xf>
    <xf numFmtId="0" fontId="3" fillId="0" borderId="11" xfId="0" applyFont="1" applyBorder="1" applyAlignment="1">
      <alignment horizontal="right" vertical="center"/>
    </xf>
    <xf numFmtId="0" fontId="3" fillId="0" borderId="9" xfId="0" applyFont="1" applyBorder="1" applyAlignment="1">
      <alignment vertical="center"/>
    </xf>
    <xf numFmtId="38" fontId="3" fillId="0" borderId="11" xfId="0" applyNumberFormat="1" applyFont="1" applyBorder="1" applyAlignment="1">
      <alignment vertical="center"/>
    </xf>
    <xf numFmtId="38" fontId="3" fillId="0" borderId="1" xfId="0" applyNumberFormat="1"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3" fillId="0" borderId="12"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horizontal="right" vertical="center"/>
    </xf>
    <xf numFmtId="0" fontId="3" fillId="0" borderId="3" xfId="0" applyFont="1" applyBorder="1" applyAlignment="1">
      <alignment vertical="center"/>
    </xf>
    <xf numFmtId="38" fontId="3" fillId="0" borderId="25" xfId="1" applyFont="1" applyFill="1" applyBorder="1" applyAlignment="1">
      <alignment vertical="center"/>
    </xf>
    <xf numFmtId="38" fontId="3" fillId="0" borderId="26" xfId="1" applyFont="1" applyFill="1" applyBorder="1" applyAlignment="1">
      <alignment vertical="center"/>
    </xf>
    <xf numFmtId="176" fontId="3" fillId="0" borderId="11" xfId="1" applyNumberFormat="1" applyFont="1" applyFill="1" applyBorder="1" applyAlignment="1">
      <alignment vertical="center"/>
    </xf>
    <xf numFmtId="0" fontId="3" fillId="0" borderId="10"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vertical="center"/>
    </xf>
    <xf numFmtId="38" fontId="3" fillId="0" borderId="21" xfId="1" applyFont="1" applyFill="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8" fontId="3" fillId="0" borderId="0" xfId="1" applyFont="1" applyFill="1" applyAlignment="1">
      <alignment vertical="center"/>
    </xf>
    <xf numFmtId="0" fontId="3" fillId="0" borderId="7" xfId="0" applyFont="1" applyBorder="1" applyAlignment="1">
      <alignment horizontal="right" vertical="center"/>
    </xf>
    <xf numFmtId="38" fontId="3" fillId="0" borderId="8" xfId="0" applyNumberFormat="1" applyFont="1" applyBorder="1" applyAlignment="1">
      <alignment vertical="center"/>
    </xf>
    <xf numFmtId="38" fontId="3" fillId="0" borderId="8" xfId="1" applyFont="1" applyFill="1" applyBorder="1" applyAlignment="1">
      <alignment vertical="center"/>
    </xf>
    <xf numFmtId="38" fontId="3" fillId="0" borderId="4" xfId="1" applyFont="1" applyFill="1" applyBorder="1" applyAlignment="1">
      <alignment vertical="center"/>
    </xf>
    <xf numFmtId="0" fontId="3" fillId="0" borderId="6" xfId="0" applyFont="1" applyBorder="1" applyAlignment="1">
      <alignment horizontal="right" vertical="center"/>
    </xf>
    <xf numFmtId="38" fontId="3" fillId="0" borderId="0" xfId="0" applyNumberFormat="1" applyFont="1" applyAlignment="1">
      <alignment vertical="center"/>
    </xf>
    <xf numFmtId="38" fontId="3" fillId="0" borderId="21" xfId="0" applyNumberFormat="1" applyFont="1" applyBorder="1" applyAlignment="1">
      <alignment vertical="center"/>
    </xf>
    <xf numFmtId="0" fontId="3" fillId="0" borderId="8" xfId="0" applyFont="1" applyBorder="1" applyAlignment="1">
      <alignment horizontal="right" vertical="center"/>
    </xf>
    <xf numFmtId="0" fontId="3" fillId="0" borderId="4" xfId="0" applyFont="1" applyBorder="1" applyAlignment="1">
      <alignment horizontal="right" vertical="center"/>
    </xf>
    <xf numFmtId="38" fontId="3" fillId="0" borderId="6" xfId="0" applyNumberFormat="1" applyFont="1" applyBorder="1" applyAlignment="1">
      <alignment vertical="center"/>
    </xf>
    <xf numFmtId="177" fontId="3" fillId="0" borderId="1" xfId="0" applyNumberFormat="1" applyFont="1" applyBorder="1" applyAlignment="1">
      <alignment horizontal="center" vertical="center"/>
    </xf>
    <xf numFmtId="0" fontId="3" fillId="0" borderId="11" xfId="0" applyFont="1" applyBorder="1" applyAlignment="1">
      <alignment horizontal="center" vertical="center"/>
    </xf>
    <xf numFmtId="38" fontId="3" fillId="0" borderId="21" xfId="1" applyFont="1" applyFill="1" applyBorder="1" applyAlignment="1">
      <alignment horizontal="right" vertical="center"/>
    </xf>
    <xf numFmtId="38" fontId="3" fillId="6" borderId="6" xfId="0" applyNumberFormat="1" applyFont="1" applyFill="1" applyBorder="1" applyAlignment="1">
      <alignment horizontal="right" vertical="center"/>
    </xf>
    <xf numFmtId="38" fontId="3" fillId="6" borderId="21" xfId="0" applyNumberFormat="1" applyFont="1" applyFill="1" applyBorder="1" applyAlignment="1">
      <alignment horizontal="right" vertical="center"/>
    </xf>
    <xf numFmtId="38" fontId="3" fillId="6" borderId="31" xfId="0" applyNumberFormat="1" applyFont="1" applyFill="1" applyBorder="1" applyAlignment="1">
      <alignment horizontal="right" vertical="center"/>
    </xf>
    <xf numFmtId="38" fontId="3" fillId="6" borderId="10" xfId="0" applyNumberFormat="1" applyFont="1" applyFill="1" applyBorder="1" applyAlignment="1">
      <alignment horizontal="right" vertical="center"/>
    </xf>
    <xf numFmtId="38" fontId="3" fillId="6" borderId="1" xfId="0" applyNumberFormat="1" applyFont="1" applyFill="1" applyBorder="1" applyAlignment="1">
      <alignment horizontal="right" vertical="center"/>
    </xf>
    <xf numFmtId="0" fontId="3" fillId="6" borderId="1" xfId="0" applyFont="1" applyFill="1" applyBorder="1" applyAlignment="1">
      <alignment horizontal="center" vertical="center"/>
    </xf>
    <xf numFmtId="38" fontId="3" fillId="6" borderId="17" xfId="0" applyNumberFormat="1" applyFont="1" applyFill="1" applyBorder="1" applyAlignment="1">
      <alignment horizontal="right" vertical="center"/>
    </xf>
    <xf numFmtId="38" fontId="3" fillId="6" borderId="34" xfId="0" applyNumberFormat="1" applyFont="1" applyFill="1" applyBorder="1" applyAlignment="1">
      <alignment horizontal="right" vertical="center"/>
    </xf>
    <xf numFmtId="38" fontId="3" fillId="6" borderId="19" xfId="0" applyNumberFormat="1" applyFont="1" applyFill="1" applyBorder="1" applyAlignment="1">
      <alignment horizontal="right" vertical="center"/>
    </xf>
    <xf numFmtId="0" fontId="3" fillId="6" borderId="19" xfId="0" applyFont="1" applyFill="1" applyBorder="1" applyAlignment="1">
      <alignment horizontal="center" vertical="center"/>
    </xf>
    <xf numFmtId="38" fontId="3" fillId="6" borderId="20" xfId="0" applyNumberFormat="1" applyFont="1" applyFill="1" applyBorder="1" applyAlignment="1">
      <alignment horizontal="right" vertical="center"/>
    </xf>
    <xf numFmtId="0" fontId="3" fillId="0" borderId="33" xfId="0" applyFont="1" applyBorder="1" applyAlignment="1">
      <alignment horizontal="center" vertical="center" wrapText="1"/>
    </xf>
    <xf numFmtId="0" fontId="3" fillId="2" borderId="10" xfId="0" applyFont="1" applyFill="1" applyBorder="1" applyAlignment="1" applyProtection="1">
      <alignment horizontal="center" vertical="center"/>
      <protection locked="0"/>
    </xf>
    <xf numFmtId="38" fontId="3" fillId="2" borderId="1" xfId="1" applyFont="1" applyFill="1" applyBorder="1" applyAlignment="1" applyProtection="1">
      <alignment horizontal="center" vertical="center"/>
      <protection locked="0"/>
    </xf>
    <xf numFmtId="38" fontId="3" fillId="2" borderId="17" xfId="1"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38" fontId="3" fillId="2" borderId="19" xfId="1" applyFont="1" applyFill="1" applyBorder="1" applyAlignment="1" applyProtection="1">
      <alignment horizontal="center" vertical="center"/>
      <protection locked="0"/>
    </xf>
    <xf numFmtId="38" fontId="3" fillId="2" borderId="20" xfId="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38" fontId="3" fillId="0" borderId="1" xfId="1" applyFont="1" applyFill="1" applyBorder="1" applyAlignment="1">
      <alignment horizontal="center" vertical="center"/>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25" xfId="0" applyFont="1" applyBorder="1" applyAlignment="1">
      <alignment vertical="center" shrinkToFit="1"/>
    </xf>
    <xf numFmtId="0" fontId="3" fillId="0" borderId="1" xfId="0" applyFont="1" applyBorder="1" applyAlignment="1">
      <alignment vertical="center" shrinkToFit="1"/>
    </xf>
    <xf numFmtId="0" fontId="3" fillId="0" borderId="41" xfId="0" applyFont="1" applyBorder="1" applyAlignment="1">
      <alignment horizontal="center" vertical="center"/>
    </xf>
    <xf numFmtId="0" fontId="3" fillId="0" borderId="42" xfId="0" applyFont="1" applyBorder="1" applyAlignment="1">
      <alignment vertical="center"/>
    </xf>
    <xf numFmtId="0" fontId="3" fillId="0" borderId="43" xfId="0" applyFont="1" applyBorder="1" applyAlignment="1">
      <alignment vertical="center"/>
    </xf>
    <xf numFmtId="177" fontId="3" fillId="0" borderId="21" xfId="0" applyNumberFormat="1" applyFont="1" applyBorder="1" applyAlignment="1">
      <alignment vertical="center"/>
    </xf>
    <xf numFmtId="0" fontId="16" fillId="0" borderId="3" xfId="0" applyFont="1" applyBorder="1" applyAlignment="1">
      <alignment horizontal="left" vertical="center" shrinkToFit="1"/>
    </xf>
    <xf numFmtId="0" fontId="16" fillId="0" borderId="0" xfId="0" applyFont="1" applyAlignment="1">
      <alignment horizontal="left" vertical="center" shrinkToFit="1"/>
    </xf>
    <xf numFmtId="0" fontId="16" fillId="0" borderId="4" xfId="0" applyFont="1" applyBorder="1" applyAlignment="1">
      <alignment horizontal="left" vertical="center" shrinkToFit="1"/>
    </xf>
    <xf numFmtId="0" fontId="3" fillId="0" borderId="44" xfId="0" applyFont="1" applyBorder="1" applyAlignment="1">
      <alignment horizontal="center" vertical="center" wrapText="1"/>
    </xf>
    <xf numFmtId="38" fontId="3" fillId="0" borderId="45" xfId="1" applyFont="1" applyFill="1" applyBorder="1" applyAlignment="1"/>
    <xf numFmtId="38" fontId="3" fillId="0" borderId="46" xfId="1" applyFont="1" applyFill="1" applyBorder="1" applyAlignment="1"/>
    <xf numFmtId="0" fontId="22" fillId="0" borderId="0" xfId="0" applyFont="1" applyAlignment="1">
      <alignment horizontal="right" vertical="center"/>
    </xf>
    <xf numFmtId="0" fontId="17" fillId="0" borderId="0" xfId="0" applyFont="1" applyAlignment="1">
      <alignment horizontal="center" vertical="center"/>
    </xf>
    <xf numFmtId="0" fontId="13" fillId="0" borderId="0" xfId="0" applyFont="1" applyAlignment="1">
      <alignment horizontal="center"/>
    </xf>
    <xf numFmtId="0" fontId="18" fillId="0" borderId="3" xfId="0" applyFont="1" applyBorder="1" applyAlignment="1">
      <alignment vertical="center" wrapText="1"/>
    </xf>
    <xf numFmtId="0" fontId="18" fillId="0" borderId="0" xfId="0" applyFont="1" applyAlignment="1">
      <alignment vertical="center" wrapText="1"/>
    </xf>
    <xf numFmtId="0" fontId="18" fillId="0" borderId="4" xfId="0" applyFont="1" applyBorder="1" applyAlignment="1">
      <alignment vertical="center" wrapText="1"/>
    </xf>
    <xf numFmtId="0" fontId="16" fillId="0" borderId="3" xfId="0" applyFont="1" applyBorder="1" applyAlignment="1">
      <alignment horizontal="left" vertical="center" shrinkToFit="1"/>
    </xf>
    <xf numFmtId="0" fontId="16" fillId="0" borderId="0" xfId="0" applyFont="1" applyAlignment="1">
      <alignment horizontal="left" vertical="center" shrinkToFit="1"/>
    </xf>
    <xf numFmtId="0" fontId="16" fillId="0" borderId="4"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0" xfId="0" applyFont="1" applyAlignment="1">
      <alignment horizontal="left" vertical="center" shrinkToFit="1"/>
    </xf>
    <xf numFmtId="0" fontId="12" fillId="0" borderId="4"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0" xfId="0" applyFont="1" applyAlignment="1">
      <alignment horizontal="left" vertical="center" shrinkToFit="1"/>
    </xf>
    <xf numFmtId="0" fontId="19" fillId="0" borderId="4" xfId="0" applyFont="1" applyBorder="1" applyAlignment="1">
      <alignment horizontal="left" vertical="center" shrinkToFit="1"/>
    </xf>
    <xf numFmtId="0" fontId="12" fillId="0" borderId="3"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center" vertical="center"/>
    </xf>
    <xf numFmtId="0" fontId="3" fillId="0" borderId="30" xfId="0" applyFont="1" applyBorder="1" applyAlignment="1">
      <alignment horizontal="left" vertical="center"/>
    </xf>
    <xf numFmtId="0" fontId="3" fillId="0" borderId="21"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2" fillId="0" borderId="5"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6" xfId="0" applyFont="1" applyBorder="1" applyAlignment="1">
      <alignment horizontal="left" vertical="center" shrinkToFit="1"/>
    </xf>
    <xf numFmtId="0" fontId="22" fillId="0" borderId="0" xfId="0" applyFont="1" applyAlignment="1">
      <alignment horizontal="center"/>
    </xf>
  </cellXfs>
  <cellStyles count="5">
    <cellStyle name="パーセント" xfId="4" builtinId="5"/>
    <cellStyle name="桁区切り" xfId="1" builtinId="6"/>
    <cellStyle name="桁区切り 2" xfId="2" xr:uid="{00000000-0005-0000-0000-000002000000}"/>
    <cellStyle name="標準" xfId="0" builtinId="0"/>
    <cellStyle name="標準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8</xdr:col>
      <xdr:colOff>134470</xdr:colOff>
      <xdr:row>37</xdr:row>
      <xdr:rowOff>53788</xdr:rowOff>
    </xdr:from>
    <xdr:to>
      <xdr:col>8</xdr:col>
      <xdr:colOff>779929</xdr:colOff>
      <xdr:row>40</xdr:row>
      <xdr:rowOff>44823</xdr:rowOff>
    </xdr:to>
    <xdr:sp macro="" textlink="">
      <xdr:nvSpPr>
        <xdr:cNvPr id="2" name="矢印: 下 1">
          <a:extLst>
            <a:ext uri="{FF2B5EF4-FFF2-40B4-BE49-F238E27FC236}">
              <a16:creationId xmlns:a16="http://schemas.microsoft.com/office/drawing/2014/main" id="{0B7F7AF5-E766-AC7A-17AB-2060DC502C5C}"/>
            </a:ext>
          </a:extLst>
        </xdr:cNvPr>
        <xdr:cNvSpPr/>
      </xdr:nvSpPr>
      <xdr:spPr>
        <a:xfrm>
          <a:off x="6329082" y="5737412"/>
          <a:ext cx="645459" cy="62752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690282</xdr:colOff>
      <xdr:row>37</xdr:row>
      <xdr:rowOff>53788</xdr:rowOff>
    </xdr:from>
    <xdr:to>
      <xdr:col>3</xdr:col>
      <xdr:colOff>152400</xdr:colOff>
      <xdr:row>40</xdr:row>
      <xdr:rowOff>44823</xdr:rowOff>
    </xdr:to>
    <xdr:sp macro="" textlink="">
      <xdr:nvSpPr>
        <xdr:cNvPr id="3" name="矢印: 下 2">
          <a:extLst>
            <a:ext uri="{FF2B5EF4-FFF2-40B4-BE49-F238E27FC236}">
              <a16:creationId xmlns:a16="http://schemas.microsoft.com/office/drawing/2014/main" id="{06963490-A1F7-46ED-B0E6-596D515E5B25}"/>
            </a:ext>
          </a:extLst>
        </xdr:cNvPr>
        <xdr:cNvSpPr/>
      </xdr:nvSpPr>
      <xdr:spPr>
        <a:xfrm>
          <a:off x="1021976" y="5737412"/>
          <a:ext cx="645459" cy="62752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91"/>
  <sheetViews>
    <sheetView tabSelected="1" zoomScale="80" zoomScaleNormal="80" workbookViewId="0">
      <selection activeCell="E33" sqref="E33"/>
    </sheetView>
  </sheetViews>
  <sheetFormatPr defaultColWidth="9" defaultRowHeight="18.75" x14ac:dyDescent="0.4"/>
  <cols>
    <col min="1" max="1" width="4.375" style="1" customWidth="1"/>
    <col min="2" max="2" width="10" style="1" customWidth="1"/>
    <col min="3" max="3" width="5.5" style="1" bestFit="1" customWidth="1"/>
    <col min="4" max="6" width="12" style="1" customWidth="1"/>
    <col min="7" max="8" width="12.75" style="1" customWidth="1"/>
    <col min="9" max="9" width="11.75" style="1" customWidth="1"/>
    <col min="10" max="10" width="12.75" style="1" customWidth="1"/>
    <col min="11" max="11" width="4.375" style="1" customWidth="1"/>
    <col min="43" max="52" width="9" style="1" customWidth="1"/>
    <col min="53" max="16384" width="9" style="1"/>
  </cols>
  <sheetData>
    <row r="1" spans="1:10" ht="31.5" customHeight="1" x14ac:dyDescent="0.4">
      <c r="A1" s="196" t="s">
        <v>154</v>
      </c>
      <c r="B1" s="196"/>
      <c r="C1" s="196"/>
      <c r="D1" s="196"/>
      <c r="E1" s="196"/>
      <c r="F1" s="196"/>
      <c r="G1" s="196"/>
      <c r="H1" s="196"/>
      <c r="I1" s="196"/>
      <c r="J1" s="196"/>
    </row>
    <row r="3" spans="1:10" x14ac:dyDescent="0.4">
      <c r="A3" s="100" t="s">
        <v>155</v>
      </c>
    </row>
    <row r="5" spans="1:10" x14ac:dyDescent="0.4">
      <c r="E5" s="213" t="s">
        <v>130</v>
      </c>
      <c r="F5" s="213"/>
      <c r="G5" s="213"/>
    </row>
    <row r="6" spans="1:10" ht="17.25" customHeight="1" x14ac:dyDescent="0.4">
      <c r="A6" s="104"/>
      <c r="B6" s="101"/>
      <c r="C6" s="101"/>
      <c r="D6" s="101"/>
      <c r="E6" s="213"/>
      <c r="F6" s="213"/>
      <c r="G6" s="213"/>
      <c r="H6" s="102"/>
      <c r="I6" s="101"/>
      <c r="J6" s="103"/>
    </row>
    <row r="7" spans="1:10" ht="42" customHeight="1" x14ac:dyDescent="0.4">
      <c r="A7" s="198" t="s">
        <v>126</v>
      </c>
      <c r="B7" s="199"/>
      <c r="C7" s="199"/>
      <c r="D7" s="199"/>
      <c r="E7" s="199"/>
      <c r="F7" s="199"/>
      <c r="G7" s="199"/>
      <c r="H7" s="199"/>
      <c r="I7" s="199"/>
      <c r="J7" s="200"/>
    </row>
    <row r="8" spans="1:10" ht="35.1" customHeight="1" x14ac:dyDescent="0.4">
      <c r="A8" s="210" t="s">
        <v>145</v>
      </c>
      <c r="B8" s="211"/>
      <c r="C8" s="211"/>
      <c r="D8" s="211"/>
      <c r="E8" s="211"/>
      <c r="F8" s="211"/>
      <c r="G8" s="211"/>
      <c r="H8" s="211"/>
      <c r="I8" s="211"/>
      <c r="J8" s="212"/>
    </row>
    <row r="9" spans="1:10" ht="17.25" customHeight="1" x14ac:dyDescent="0.4">
      <c r="A9" s="201" t="s">
        <v>156</v>
      </c>
      <c r="B9" s="202"/>
      <c r="C9" s="202"/>
      <c r="D9" s="202"/>
      <c r="E9" s="202"/>
      <c r="F9" s="202"/>
      <c r="G9" s="202"/>
      <c r="H9" s="202"/>
      <c r="I9" s="202"/>
      <c r="J9" s="203"/>
    </row>
    <row r="10" spans="1:10" ht="17.25" customHeight="1" x14ac:dyDescent="0.4">
      <c r="A10" s="189"/>
      <c r="B10" s="190"/>
      <c r="C10" s="190"/>
      <c r="D10" s="190"/>
      <c r="E10" s="190"/>
      <c r="F10" s="190"/>
      <c r="G10" s="190"/>
      <c r="H10" s="190"/>
      <c r="I10" s="190"/>
      <c r="J10" s="191"/>
    </row>
    <row r="11" spans="1:10" ht="17.25" customHeight="1" x14ac:dyDescent="0.4">
      <c r="A11" s="204" t="s">
        <v>146</v>
      </c>
      <c r="B11" s="205"/>
      <c r="C11" s="205"/>
      <c r="D11" s="205"/>
      <c r="E11" s="205"/>
      <c r="F11" s="205"/>
      <c r="G11" s="205"/>
      <c r="H11" s="205"/>
      <c r="I11" s="205"/>
      <c r="J11" s="206"/>
    </row>
    <row r="12" spans="1:10" ht="17.25" customHeight="1" x14ac:dyDescent="0.4">
      <c r="A12" s="204" t="s">
        <v>158</v>
      </c>
      <c r="B12" s="205"/>
      <c r="C12" s="205"/>
      <c r="D12" s="205"/>
      <c r="E12" s="205"/>
      <c r="F12" s="205"/>
      <c r="G12" s="205"/>
      <c r="H12" s="205"/>
      <c r="I12" s="205"/>
      <c r="J12" s="206"/>
    </row>
    <row r="13" spans="1:10" ht="17.25" customHeight="1" x14ac:dyDescent="0.4">
      <c r="A13" s="204" t="s">
        <v>159</v>
      </c>
      <c r="B13" s="205"/>
      <c r="C13" s="205"/>
      <c r="D13" s="205"/>
      <c r="E13" s="205"/>
      <c r="F13" s="205"/>
      <c r="G13" s="205"/>
      <c r="H13" s="205"/>
      <c r="I13" s="205"/>
      <c r="J13" s="206"/>
    </row>
    <row r="14" spans="1:10" ht="17.25" customHeight="1" x14ac:dyDescent="0.4">
      <c r="A14" s="204" t="s">
        <v>147</v>
      </c>
      <c r="B14" s="205"/>
      <c r="C14" s="205"/>
      <c r="D14" s="205"/>
      <c r="E14" s="205"/>
      <c r="F14" s="205"/>
      <c r="G14" s="205"/>
      <c r="H14" s="205"/>
      <c r="I14" s="205"/>
      <c r="J14" s="206"/>
    </row>
    <row r="15" spans="1:10" x14ac:dyDescent="0.4">
      <c r="A15" s="207" t="s">
        <v>148</v>
      </c>
      <c r="B15" s="208"/>
      <c r="C15" s="208"/>
      <c r="D15" s="208"/>
      <c r="E15" s="208"/>
      <c r="F15" s="208"/>
      <c r="G15" s="208"/>
      <c r="H15" s="208"/>
      <c r="I15" s="208"/>
      <c r="J15" s="209"/>
    </row>
    <row r="16" spans="1:10" ht="17.25" customHeight="1" x14ac:dyDescent="0.4">
      <c r="A16" s="207" t="s">
        <v>144</v>
      </c>
      <c r="B16" s="208"/>
      <c r="C16" s="208"/>
      <c r="D16" s="208"/>
      <c r="E16" s="208"/>
      <c r="F16" s="208"/>
      <c r="G16" s="208"/>
      <c r="H16" s="208"/>
      <c r="I16" s="208"/>
      <c r="J16" s="209"/>
    </row>
    <row r="17" spans="1:11" ht="17.25" customHeight="1" x14ac:dyDescent="0.4">
      <c r="A17" s="207" t="s">
        <v>127</v>
      </c>
      <c r="B17" s="208"/>
      <c r="C17" s="208"/>
      <c r="D17" s="208"/>
      <c r="E17" s="208"/>
      <c r="F17" s="208"/>
      <c r="G17" s="208"/>
      <c r="H17" s="208"/>
      <c r="I17" s="208"/>
      <c r="J17" s="209"/>
    </row>
    <row r="18" spans="1:11" ht="17.25" customHeight="1" x14ac:dyDescent="0.4">
      <c r="A18" s="207" t="s">
        <v>128</v>
      </c>
      <c r="B18" s="208"/>
      <c r="C18" s="208"/>
      <c r="D18" s="208"/>
      <c r="E18" s="208"/>
      <c r="F18" s="208"/>
      <c r="G18" s="208"/>
      <c r="H18" s="208"/>
      <c r="I18" s="208"/>
      <c r="J18" s="209"/>
    </row>
    <row r="19" spans="1:11" ht="17.25" customHeight="1" x14ac:dyDescent="0.4">
      <c r="A19" s="204" t="s">
        <v>129</v>
      </c>
      <c r="B19" s="205"/>
      <c r="C19" s="205"/>
      <c r="D19" s="205"/>
      <c r="E19" s="205"/>
      <c r="F19" s="205"/>
      <c r="G19" s="205"/>
      <c r="H19" s="205"/>
      <c r="I19" s="205"/>
      <c r="J19" s="206"/>
    </row>
    <row r="20" spans="1:11" ht="17.25" customHeight="1" x14ac:dyDescent="0.4">
      <c r="A20" s="204" t="s">
        <v>149</v>
      </c>
      <c r="B20" s="205"/>
      <c r="C20" s="205"/>
      <c r="D20" s="205"/>
      <c r="E20" s="205"/>
      <c r="F20" s="205"/>
      <c r="G20" s="205"/>
      <c r="H20" s="205"/>
      <c r="I20" s="205"/>
      <c r="J20" s="206"/>
    </row>
    <row r="21" spans="1:11" ht="17.25" customHeight="1" x14ac:dyDescent="0.4">
      <c r="A21" s="204" t="s">
        <v>157</v>
      </c>
      <c r="B21" s="205"/>
      <c r="C21" s="205"/>
      <c r="D21" s="205"/>
      <c r="E21" s="205"/>
      <c r="F21" s="205"/>
      <c r="G21" s="205"/>
      <c r="H21" s="205"/>
      <c r="I21" s="205"/>
      <c r="J21" s="206"/>
    </row>
    <row r="22" spans="1:11" ht="17.25" customHeight="1" x14ac:dyDescent="0.4">
      <c r="A22" s="204" t="s">
        <v>140</v>
      </c>
      <c r="B22" s="205"/>
      <c r="C22" s="205"/>
      <c r="D22" s="205"/>
      <c r="E22" s="205"/>
      <c r="F22" s="205"/>
      <c r="G22" s="205"/>
      <c r="H22" s="205"/>
      <c r="I22" s="205"/>
      <c r="J22" s="206"/>
    </row>
    <row r="23" spans="1:11" ht="17.25" customHeight="1" x14ac:dyDescent="0.4">
      <c r="A23" s="204" t="s">
        <v>141</v>
      </c>
      <c r="B23" s="205"/>
      <c r="C23" s="205"/>
      <c r="D23" s="205"/>
      <c r="E23" s="205"/>
      <c r="F23" s="205"/>
      <c r="G23" s="205"/>
      <c r="H23" s="205"/>
      <c r="I23" s="205"/>
      <c r="J23" s="206"/>
    </row>
    <row r="24" spans="1:11" ht="17.25" customHeight="1" x14ac:dyDescent="0.4">
      <c r="A24" s="204" t="s">
        <v>142</v>
      </c>
      <c r="B24" s="205"/>
      <c r="C24" s="205"/>
      <c r="D24" s="205"/>
      <c r="E24" s="205"/>
      <c r="F24" s="205"/>
      <c r="G24" s="205"/>
      <c r="H24" s="205"/>
      <c r="I24" s="205"/>
      <c r="J24" s="206"/>
    </row>
    <row r="25" spans="1:11" ht="17.25" customHeight="1" x14ac:dyDescent="0.4">
      <c r="A25" s="204" t="s">
        <v>160</v>
      </c>
      <c r="B25" s="205"/>
      <c r="C25" s="205"/>
      <c r="D25" s="205"/>
      <c r="E25" s="205"/>
      <c r="F25" s="205"/>
      <c r="G25" s="205"/>
      <c r="H25" s="205"/>
      <c r="I25" s="205"/>
      <c r="J25" s="206"/>
    </row>
    <row r="26" spans="1:11" ht="17.25" customHeight="1" x14ac:dyDescent="0.4">
      <c r="A26" s="204" t="s">
        <v>143</v>
      </c>
      <c r="B26" s="205"/>
      <c r="C26" s="205"/>
      <c r="D26" s="205"/>
      <c r="E26" s="205"/>
      <c r="F26" s="205"/>
      <c r="G26" s="205"/>
      <c r="H26" s="205"/>
      <c r="I26" s="205"/>
      <c r="J26" s="206"/>
    </row>
    <row r="27" spans="1:11" x14ac:dyDescent="0.4">
      <c r="A27" s="218"/>
      <c r="B27" s="219"/>
      <c r="C27" s="219"/>
      <c r="D27" s="219"/>
      <c r="E27" s="219"/>
      <c r="F27" s="219"/>
      <c r="G27" s="219"/>
      <c r="H27" s="219"/>
      <c r="I27" s="219"/>
      <c r="J27" s="220"/>
    </row>
    <row r="28" spans="1:11" ht="26.45" customHeight="1" thickBot="1" x14ac:dyDescent="0.45"/>
    <row r="29" spans="1:11" ht="19.5" thickBot="1" x14ac:dyDescent="0.45">
      <c r="D29" s="99"/>
      <c r="E29" s="99" t="s">
        <v>123</v>
      </c>
      <c r="F29" s="177" t="s">
        <v>131</v>
      </c>
      <c r="J29" s="195" t="str">
        <f>VLOOKUP(IF(F29=計算表!C5,1,IF(C32=0,2,IF(計算表!C19,0,3))),計算表!$B$9:$C$13,2,FALSE)</f>
        <v>世帯主の国保加入の有無を入力してください</v>
      </c>
    </row>
    <row r="30" spans="1:11" s="4" customFormat="1" ht="28.5" customHeight="1" thickBot="1" x14ac:dyDescent="0.2">
      <c r="A30" s="1"/>
      <c r="B30" s="2"/>
      <c r="C30" s="1"/>
      <c r="D30" s="1"/>
      <c r="E30" s="1"/>
      <c r="F30" s="1"/>
      <c r="G30" s="1"/>
      <c r="H30" s="1"/>
      <c r="I30" s="1"/>
      <c r="J30" s="1"/>
      <c r="K30" s="1"/>
    </row>
    <row r="31" spans="1:11" ht="28.5" customHeight="1" x14ac:dyDescent="0.4">
      <c r="A31" s="75"/>
      <c r="B31" s="91" t="s">
        <v>0</v>
      </c>
      <c r="C31" s="170" t="s">
        <v>1</v>
      </c>
      <c r="D31" s="87" t="s">
        <v>23</v>
      </c>
      <c r="E31" s="87" t="s">
        <v>63</v>
      </c>
      <c r="F31" s="88" t="s">
        <v>26</v>
      </c>
      <c r="G31" s="86" t="s">
        <v>24</v>
      </c>
      <c r="H31" s="87" t="s">
        <v>25</v>
      </c>
      <c r="I31" s="87" t="s">
        <v>26</v>
      </c>
      <c r="J31" s="88" t="s">
        <v>27</v>
      </c>
      <c r="K31" s="97"/>
    </row>
    <row r="32" spans="1:11" ht="28.5" customHeight="1" x14ac:dyDescent="0.4">
      <c r="B32" s="89" t="s">
        <v>98</v>
      </c>
      <c r="C32" s="171"/>
      <c r="D32" s="172"/>
      <c r="E32" s="172"/>
      <c r="F32" s="173"/>
      <c r="G32" s="69">
        <f>IF(C32&lt;&gt;"",給与所得表!F15,0)</f>
        <v>0</v>
      </c>
      <c r="H32" s="70">
        <f>IF(C32&lt;&gt;"",年金所得表!I17,0)</f>
        <v>0</v>
      </c>
      <c r="I32" s="70">
        <f>IF(C32&lt;&gt;"",F32,0)</f>
        <v>0</v>
      </c>
      <c r="J32" s="71">
        <f>SUM(G32:I32)+計算表!D19</f>
        <v>0</v>
      </c>
      <c r="K32" s="98"/>
    </row>
    <row r="33" spans="1:11" ht="28.5" customHeight="1" x14ac:dyDescent="0.4">
      <c r="A33" s="4"/>
      <c r="B33" s="89" t="s">
        <v>106</v>
      </c>
      <c r="C33" s="171"/>
      <c r="D33" s="172"/>
      <c r="E33" s="172"/>
      <c r="F33" s="173"/>
      <c r="G33" s="69">
        <f>IF(AND(C33&lt;&gt;"",C32&lt;&gt;""),給与所得表!G15,0)</f>
        <v>0</v>
      </c>
      <c r="H33" s="70">
        <f>IF(AND(C33&lt;&gt;"",C32&lt;&gt;""),年金所得表!J17,0)</f>
        <v>0</v>
      </c>
      <c r="I33" s="70">
        <f>IF(AND(C33&lt;&gt;"",C32&lt;&gt;""),F33,0)</f>
        <v>0</v>
      </c>
      <c r="J33" s="71">
        <f>SUM(G33:I33)+計算表!D20</f>
        <v>0</v>
      </c>
      <c r="K33" s="98"/>
    </row>
    <row r="34" spans="1:11" ht="28.5" customHeight="1" x14ac:dyDescent="0.4">
      <c r="B34" s="89" t="s">
        <v>107</v>
      </c>
      <c r="C34" s="171"/>
      <c r="D34" s="172"/>
      <c r="E34" s="172"/>
      <c r="F34" s="173"/>
      <c r="G34" s="69">
        <f>IF(AND(C34&lt;&gt;"",C32&lt;&gt;""),給与所得表!H15,0)</f>
        <v>0</v>
      </c>
      <c r="H34" s="70">
        <f>IF(AND(C34&lt;&gt;"",C32&lt;&gt;""),年金所得表!K17,0)</f>
        <v>0</v>
      </c>
      <c r="I34" s="70">
        <f>IF(AND(C34&lt;&gt;"",C32&lt;&gt;""),F34,0)</f>
        <v>0</v>
      </c>
      <c r="J34" s="71">
        <f>SUM(G34:I34)+計算表!D21</f>
        <v>0</v>
      </c>
      <c r="K34" s="98"/>
    </row>
    <row r="35" spans="1:11" ht="28.5" customHeight="1" x14ac:dyDescent="0.4">
      <c r="B35" s="89" t="s">
        <v>108</v>
      </c>
      <c r="C35" s="171"/>
      <c r="D35" s="172"/>
      <c r="E35" s="172"/>
      <c r="F35" s="173"/>
      <c r="G35" s="69">
        <f>IF(AND(C35&lt;&gt;"",C32&lt;&gt;""),給与所得表!I15,0)</f>
        <v>0</v>
      </c>
      <c r="H35" s="70">
        <f>IF(AND(C35&lt;&gt;"",C32&lt;&gt;""),年金所得表!L17,0)</f>
        <v>0</v>
      </c>
      <c r="I35" s="70">
        <f>IF(AND(C35&lt;&gt;"",C32&lt;&gt;""),F35,0)</f>
        <v>0</v>
      </c>
      <c r="J35" s="71">
        <f>SUM(G35:I35)+計算表!D22</f>
        <v>0</v>
      </c>
      <c r="K35" s="98"/>
    </row>
    <row r="36" spans="1:11" ht="28.5" customHeight="1" thickBot="1" x14ac:dyDescent="0.45">
      <c r="B36" s="90" t="s">
        <v>109</v>
      </c>
      <c r="C36" s="174"/>
      <c r="D36" s="175"/>
      <c r="E36" s="175"/>
      <c r="F36" s="176"/>
      <c r="G36" s="72">
        <f>IF(AND(C36&lt;&gt;"",C32&lt;&gt;""),給与所得表!J15,0)</f>
        <v>0</v>
      </c>
      <c r="H36" s="73">
        <f>IF(AND(C36&lt;&gt;"",C32&lt;&gt;""),年金所得表!M17,0)</f>
        <v>0</v>
      </c>
      <c r="I36" s="73">
        <f>IF(AND(C36&lt;&gt;"",C32&lt;&gt;""),F36,0)</f>
        <v>0</v>
      </c>
      <c r="J36" s="74">
        <f>SUM(G36:I36)+計算表!D23</f>
        <v>0</v>
      </c>
      <c r="K36" s="98"/>
    </row>
    <row r="37" spans="1:11" x14ac:dyDescent="0.4">
      <c r="I37" s="3"/>
    </row>
    <row r="38" spans="1:11" x14ac:dyDescent="0.4">
      <c r="C38" s="2"/>
      <c r="D38" s="2"/>
    </row>
    <row r="39" spans="1:11" ht="26.25" x14ac:dyDescent="0.4">
      <c r="C39" s="2"/>
      <c r="D39" s="197" t="s">
        <v>111</v>
      </c>
      <c r="E39" s="197"/>
      <c r="F39" s="197"/>
      <c r="G39" s="197"/>
      <c r="H39" s="197"/>
    </row>
    <row r="40" spans="1:11" x14ac:dyDescent="0.4">
      <c r="C40" s="2"/>
      <c r="D40" s="221" t="str">
        <f>VLOOKUP(IF(F29=計算表!C5,1,IF(C32=0,2,IF(計算表!C19,0,3))),計算表!$B$9:$C$13,2,FALSE)</f>
        <v>世帯主の国保加入の有無を入力してください</v>
      </c>
      <c r="E40" s="221"/>
      <c r="F40" s="221"/>
      <c r="G40" s="221"/>
      <c r="H40" s="221"/>
    </row>
    <row r="41" spans="1:11" ht="19.5" thickBot="1" x14ac:dyDescent="0.45">
      <c r="C41" s="2"/>
    </row>
    <row r="42" spans="1:11" ht="34.15" customHeight="1" thickBot="1" x14ac:dyDescent="0.45">
      <c r="C42" s="2"/>
      <c r="D42" s="95" t="s">
        <v>112</v>
      </c>
      <c r="E42" s="94" t="s">
        <v>116</v>
      </c>
      <c r="F42" s="92" t="s">
        <v>117</v>
      </c>
      <c r="G42" s="92" t="s">
        <v>118</v>
      </c>
      <c r="H42" s="93" t="s">
        <v>119</v>
      </c>
    </row>
    <row r="43" spans="1:11" ht="34.15" customHeight="1" x14ac:dyDescent="0.4">
      <c r="C43" s="2"/>
      <c r="D43" s="96" t="s">
        <v>113</v>
      </c>
      <c r="E43" s="159">
        <f>IF(J29=" ",計算表!E43,0)</f>
        <v>0</v>
      </c>
      <c r="F43" s="160">
        <f>IF(J29=" ",計算表!E44,0)</f>
        <v>0</v>
      </c>
      <c r="G43" s="160">
        <f>IF(J29=" ",計算表!E45,0)</f>
        <v>0</v>
      </c>
      <c r="H43" s="161">
        <f>IF(J29=" ",計算表!E46,0)</f>
        <v>0</v>
      </c>
      <c r="I43" s="107" t="str">
        <f>"　限度額 "&amp;TEXT(計算表!J6,"000,000")&amp;"円"</f>
        <v>　限度額 650,000円</v>
      </c>
    </row>
    <row r="44" spans="1:11" ht="34.15" customHeight="1" x14ac:dyDescent="0.4">
      <c r="C44" s="2"/>
      <c r="D44" s="89" t="s">
        <v>114</v>
      </c>
      <c r="E44" s="162">
        <f>IF(J29=" ",計算表!E47,0)</f>
        <v>0</v>
      </c>
      <c r="F44" s="163">
        <f>IF(J29=" ",計算表!E48,0)</f>
        <v>0</v>
      </c>
      <c r="G44" s="164" t="s">
        <v>120</v>
      </c>
      <c r="H44" s="165">
        <f>IF(J29=" ",計算表!E49,0)</f>
        <v>0</v>
      </c>
      <c r="I44" s="107" t="str">
        <f>"　限度額 "&amp;TEXT(計算表!J9,"000,000")&amp;"円"</f>
        <v>　限度額 220,000円</v>
      </c>
    </row>
    <row r="45" spans="1:11" ht="34.15" customHeight="1" thickBot="1" x14ac:dyDescent="0.45">
      <c r="C45" s="2"/>
      <c r="D45" s="90" t="s">
        <v>115</v>
      </c>
      <c r="E45" s="166">
        <f>IF(J29=" ",計算表!E50,0)</f>
        <v>0</v>
      </c>
      <c r="F45" s="167">
        <f>IF(J29=" ",計算表!E51,0)</f>
        <v>0</v>
      </c>
      <c r="G45" s="168" t="s">
        <v>120</v>
      </c>
      <c r="H45" s="169">
        <f>IF(J29=" ",計算表!E52,0)</f>
        <v>0</v>
      </c>
      <c r="I45" s="107" t="str">
        <f>"　限度額 "&amp;TEXT(計算表!J12,"000,000")&amp;"円"</f>
        <v>　限度額 170,000円</v>
      </c>
    </row>
    <row r="46" spans="1:11" ht="34.35" customHeight="1" x14ac:dyDescent="0.4">
      <c r="C46" s="2"/>
      <c r="D46" s="214" t="s">
        <v>121</v>
      </c>
      <c r="E46" s="215"/>
      <c r="F46" s="215"/>
      <c r="G46" s="215"/>
      <c r="H46" s="161">
        <f>IF(J29=" ",計算表!E55,0)</f>
        <v>0</v>
      </c>
    </row>
    <row r="47" spans="1:11" ht="34.35" customHeight="1" thickBot="1" x14ac:dyDescent="0.45">
      <c r="C47" s="2"/>
      <c r="D47" s="216" t="s">
        <v>122</v>
      </c>
      <c r="E47" s="217"/>
      <c r="F47" s="217"/>
      <c r="G47" s="217"/>
      <c r="H47" s="169">
        <f>IF(J29=" ",計算表!E56,0)</f>
        <v>0</v>
      </c>
    </row>
    <row r="48" spans="1:11" x14ac:dyDescent="0.4">
      <c r="C48" s="2"/>
    </row>
    <row r="49" spans="3:7" x14ac:dyDescent="0.4">
      <c r="C49" s="2"/>
    </row>
    <row r="50" spans="3:7" x14ac:dyDescent="0.4">
      <c r="C50" s="2"/>
    </row>
    <row r="51" spans="3:7" x14ac:dyDescent="0.4">
      <c r="C51" s="2"/>
    </row>
    <row r="52" spans="3:7" x14ac:dyDescent="0.4">
      <c r="C52" s="2"/>
    </row>
    <row r="53" spans="3:7" x14ac:dyDescent="0.4">
      <c r="C53" s="2"/>
    </row>
    <row r="54" spans="3:7" x14ac:dyDescent="0.4">
      <c r="C54" s="2"/>
      <c r="E54" s="2"/>
      <c r="F54" s="5"/>
      <c r="G54" s="5"/>
    </row>
    <row r="55" spans="3:7" x14ac:dyDescent="0.4">
      <c r="C55" s="2"/>
      <c r="D55" s="2"/>
    </row>
    <row r="56" spans="3:7" x14ac:dyDescent="0.4">
      <c r="C56" s="2"/>
      <c r="D56" s="2"/>
    </row>
    <row r="57" spans="3:7" x14ac:dyDescent="0.4">
      <c r="C57" s="2"/>
      <c r="D57" s="2"/>
    </row>
    <row r="58" spans="3:7" x14ac:dyDescent="0.4">
      <c r="C58" s="2"/>
      <c r="D58" s="2"/>
    </row>
    <row r="59" spans="3:7" x14ac:dyDescent="0.4">
      <c r="C59" s="2"/>
      <c r="D59" s="2"/>
    </row>
    <row r="60" spans="3:7" x14ac:dyDescent="0.4">
      <c r="C60" s="2"/>
      <c r="D60" s="2"/>
    </row>
    <row r="61" spans="3:7" x14ac:dyDescent="0.4">
      <c r="C61" s="2"/>
      <c r="D61" s="2"/>
    </row>
    <row r="62" spans="3:7" x14ac:dyDescent="0.4">
      <c r="C62" s="2"/>
      <c r="D62" s="2"/>
    </row>
    <row r="63" spans="3:7" x14ac:dyDescent="0.4">
      <c r="C63" s="2"/>
      <c r="D63" s="2"/>
    </row>
    <row r="64" spans="3:7" x14ac:dyDescent="0.4">
      <c r="C64" s="2"/>
      <c r="D64" s="2"/>
    </row>
    <row r="65" spans="3:4" x14ac:dyDescent="0.4">
      <c r="C65" s="2"/>
      <c r="D65" s="2"/>
    </row>
    <row r="66" spans="3:4" x14ac:dyDescent="0.4">
      <c r="C66" s="2"/>
      <c r="D66" s="2"/>
    </row>
    <row r="91" ht="12" customHeight="1" x14ac:dyDescent="0.4"/>
  </sheetData>
  <sheetProtection algorithmName="SHA-512" hashValue="77fKvDq2NgUPuZZBjAXIgamkMm/rMfj/oVyimTn7T5pZ4uSqDLAzxoG7PinpKSs/khNSxZMGPF3jdHl20yFxzQ==" saltValue="9JmNotOikjI8ZPPZWMZQmg==" spinCount="100000" sheet="1" selectLockedCells="1"/>
  <mergeCells count="26">
    <mergeCell ref="D46:G46"/>
    <mergeCell ref="D47:G47"/>
    <mergeCell ref="A17:J17"/>
    <mergeCell ref="A18:J18"/>
    <mergeCell ref="A19:J19"/>
    <mergeCell ref="A21:J21"/>
    <mergeCell ref="A27:J27"/>
    <mergeCell ref="A26:J26"/>
    <mergeCell ref="A20:J20"/>
    <mergeCell ref="D40:H40"/>
    <mergeCell ref="A1:J1"/>
    <mergeCell ref="D39:H39"/>
    <mergeCell ref="A7:J7"/>
    <mergeCell ref="A9:J9"/>
    <mergeCell ref="A11:J11"/>
    <mergeCell ref="A12:J12"/>
    <mergeCell ref="A13:J13"/>
    <mergeCell ref="A14:J14"/>
    <mergeCell ref="A15:J15"/>
    <mergeCell ref="A8:J8"/>
    <mergeCell ref="A16:J16"/>
    <mergeCell ref="A22:J22"/>
    <mergeCell ref="A23:J23"/>
    <mergeCell ref="A24:J24"/>
    <mergeCell ref="A25:J25"/>
    <mergeCell ref="E5:G6"/>
  </mergeCells>
  <phoneticPr fontId="2"/>
  <dataValidations count="2">
    <dataValidation type="whole" imeMode="off" allowBlank="1" showInputMessage="1" showErrorMessage="1" errorTitle="年齢入力エラー" error="整数を入力してください。_x000a_0歳児の場合は便宜上1歳としてください。" sqref="C32:C36" xr:uid="{F6716D35-E6A2-4539-B578-736980CD21DC}">
      <formula1>1</formula1>
      <formula2>150</formula2>
    </dataValidation>
    <dataValidation type="whole" imeMode="off" allowBlank="1" showInputMessage="1" showErrorMessage="1" errorTitle="収入　入力エラー" error="整数で入力してください。" sqref="D32:F36" xr:uid="{03E8929C-6DCA-465F-B0FE-6794619ED8D2}">
      <formula1>0</formula1>
      <formula2>10000000000000</formula2>
    </dataValidation>
  </dataValidations>
  <printOptions horizontalCentered="1" verticalCentered="1"/>
  <pageMargins left="0.70866141732283472" right="0.70866141732283472" top="0.74803149606299213" bottom="0.74803149606299213" header="0.31496062992125984" footer="0.31496062992125984"/>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E3826D58-8561-4429-9330-094DBA7BC3A6}">
          <x14:formula1>
            <xm:f>計算表!$C$5:$C$7</xm:f>
          </x14:formula1>
          <xm:sqref>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5B3F2-A344-4A7F-ACF3-5CBD1B8C5A4A}">
  <dimension ref="B1:AF56"/>
  <sheetViews>
    <sheetView workbookViewId="0">
      <selection sqref="A1:J1"/>
    </sheetView>
  </sheetViews>
  <sheetFormatPr defaultRowHeight="18.75" x14ac:dyDescent="0.4"/>
  <cols>
    <col min="1" max="1" width="4.25" customWidth="1"/>
    <col min="2" max="19" width="11" style="105" customWidth="1"/>
    <col min="20" max="32" width="9" style="1"/>
  </cols>
  <sheetData>
    <row r="1" spans="2:10" x14ac:dyDescent="0.4">
      <c r="B1" s="105" t="s">
        <v>94</v>
      </c>
    </row>
    <row r="2" spans="2:10" x14ac:dyDescent="0.4">
      <c r="B2" s="105" t="s">
        <v>95</v>
      </c>
      <c r="H2" s="105" t="s">
        <v>151</v>
      </c>
    </row>
    <row r="3" spans="2:10" x14ac:dyDescent="0.4">
      <c r="H3" s="108" t="s">
        <v>81</v>
      </c>
      <c r="I3" s="109" t="s">
        <v>83</v>
      </c>
      <c r="J3" s="110">
        <v>7.0000000000000007E-2</v>
      </c>
    </row>
    <row r="4" spans="2:10" x14ac:dyDescent="0.4">
      <c r="B4" s="184" t="s">
        <v>99</v>
      </c>
      <c r="C4" s="184" t="s">
        <v>153</v>
      </c>
      <c r="H4" s="111"/>
      <c r="I4" s="109" t="s">
        <v>86</v>
      </c>
      <c r="J4" s="112">
        <v>25600</v>
      </c>
    </row>
    <row r="5" spans="2:10" x14ac:dyDescent="0.4">
      <c r="B5" s="109">
        <v>1</v>
      </c>
      <c r="C5" s="113" t="s">
        <v>131</v>
      </c>
      <c r="H5" s="111"/>
      <c r="I5" s="109" t="s">
        <v>87</v>
      </c>
      <c r="J5" s="112">
        <v>16800</v>
      </c>
    </row>
    <row r="6" spans="2:10" x14ac:dyDescent="0.4">
      <c r="B6" s="109">
        <v>2</v>
      </c>
      <c r="C6" s="109" t="s">
        <v>124</v>
      </c>
      <c r="H6" s="114"/>
      <c r="I6" s="109" t="s">
        <v>88</v>
      </c>
      <c r="J6" s="112">
        <v>650000</v>
      </c>
    </row>
    <row r="7" spans="2:10" x14ac:dyDescent="0.4">
      <c r="B7" s="109">
        <v>3</v>
      </c>
      <c r="C7" s="109" t="s">
        <v>125</v>
      </c>
      <c r="H7" s="108" t="s">
        <v>84</v>
      </c>
      <c r="I7" s="109" t="s">
        <v>82</v>
      </c>
      <c r="J7" s="110">
        <v>2.6800000000000001E-2</v>
      </c>
    </row>
    <row r="8" spans="2:10" x14ac:dyDescent="0.4">
      <c r="H8" s="111"/>
      <c r="I8" s="109" t="s">
        <v>86</v>
      </c>
      <c r="J8" s="112">
        <v>12700</v>
      </c>
    </row>
    <row r="9" spans="2:10" x14ac:dyDescent="0.4">
      <c r="B9" s="183" t="s">
        <v>150</v>
      </c>
      <c r="C9" s="131" t="s">
        <v>139</v>
      </c>
      <c r="D9" s="131"/>
      <c r="E9" s="131"/>
      <c r="F9" s="132"/>
      <c r="H9" s="114"/>
      <c r="I9" s="109" t="s">
        <v>88</v>
      </c>
      <c r="J9" s="112">
        <v>220000</v>
      </c>
    </row>
    <row r="10" spans="2:10" x14ac:dyDescent="0.4">
      <c r="B10" s="109">
        <v>1</v>
      </c>
      <c r="C10" s="126" t="s">
        <v>135</v>
      </c>
      <c r="D10" s="126"/>
      <c r="E10" s="126"/>
      <c r="F10" s="138"/>
      <c r="H10" s="108" t="s">
        <v>85</v>
      </c>
      <c r="I10" s="109" t="s">
        <v>82</v>
      </c>
      <c r="J10" s="110">
        <v>2.2700000000000001E-2</v>
      </c>
    </row>
    <row r="11" spans="2:10" x14ac:dyDescent="0.4">
      <c r="B11" s="111">
        <v>2</v>
      </c>
      <c r="C11" s="105" t="s">
        <v>134</v>
      </c>
      <c r="F11" s="142"/>
      <c r="H11" s="111"/>
      <c r="I11" s="109" t="s">
        <v>86</v>
      </c>
      <c r="J11" s="112">
        <v>14200</v>
      </c>
    </row>
    <row r="12" spans="2:10" x14ac:dyDescent="0.4">
      <c r="B12" s="109">
        <v>3</v>
      </c>
      <c r="C12" s="126" t="s">
        <v>138</v>
      </c>
      <c r="D12" s="126"/>
      <c r="E12" s="126"/>
      <c r="F12" s="138"/>
      <c r="H12" s="114"/>
      <c r="I12" s="109" t="s">
        <v>88</v>
      </c>
      <c r="J12" s="112">
        <v>170000</v>
      </c>
    </row>
    <row r="13" spans="2:10" x14ac:dyDescent="0.4">
      <c r="B13" s="114">
        <v>0</v>
      </c>
      <c r="C13" s="143" t="s">
        <v>136</v>
      </c>
      <c r="D13" s="143"/>
      <c r="E13" s="143"/>
      <c r="F13" s="144"/>
      <c r="H13" s="108" t="s">
        <v>133</v>
      </c>
      <c r="I13" s="157" t="s">
        <v>59</v>
      </c>
      <c r="J13" s="112">
        <v>295000</v>
      </c>
    </row>
    <row r="14" spans="2:10" x14ac:dyDescent="0.4">
      <c r="H14" s="114"/>
      <c r="I14" s="157" t="s">
        <v>58</v>
      </c>
      <c r="J14" s="112">
        <v>545000</v>
      </c>
    </row>
    <row r="16" spans="2:10" ht="19.5" thickBot="1" x14ac:dyDescent="0.45">
      <c r="B16" s="105" t="s">
        <v>152</v>
      </c>
      <c r="C16" s="1"/>
    </row>
    <row r="17" spans="2:32" ht="19.5" thickBot="1" x14ac:dyDescent="0.45">
      <c r="C17" s="1"/>
      <c r="D17" s="116"/>
      <c r="G17" s="185" t="s">
        <v>57</v>
      </c>
      <c r="H17" s="186"/>
      <c r="I17" s="186"/>
      <c r="J17" s="186"/>
      <c r="K17" s="187"/>
    </row>
    <row r="18" spans="2:32" ht="27" x14ac:dyDescent="0.4">
      <c r="B18" s="91" t="s">
        <v>0</v>
      </c>
      <c r="C18" s="192" t="s">
        <v>137</v>
      </c>
      <c r="D18" s="87" t="s">
        <v>100</v>
      </c>
      <c r="E18" s="87" t="s">
        <v>10</v>
      </c>
      <c r="F18" s="88" t="s">
        <v>2</v>
      </c>
      <c r="G18" s="86" t="s">
        <v>22</v>
      </c>
      <c r="H18" s="87" t="s">
        <v>90</v>
      </c>
      <c r="I18" s="87" t="s">
        <v>91</v>
      </c>
      <c r="J18" s="87" t="s">
        <v>92</v>
      </c>
      <c r="K18" s="88" t="s">
        <v>57</v>
      </c>
    </row>
    <row r="19" spans="2:32" x14ac:dyDescent="0.4">
      <c r="B19" s="89" t="s">
        <v>98</v>
      </c>
      <c r="C19" s="193" t="b">
        <f>AND(C20,C21,C22,C23)</f>
        <v>1</v>
      </c>
      <c r="D19" s="112">
        <f>IF(IF(AND(試算表!G32&lt;&gt;0,試算表!H32&lt;&gt;0),IF(試算表!G32&gt;試算表!H32,試算表!H32,試算表!G32),0)*-1&lt;=-100000,-100000,IF(AND(試算表!G32&lt;&gt;0,試算表!H32&lt;&gt;0),IF(試算表!G32&gt;試算表!H32,試算表!H32,試算表!G32),0)*-1)</f>
        <v>0</v>
      </c>
      <c r="E19" s="112">
        <f>IF(試算表!F29="加入しない",4,IF(OR(試算表!C32=0,試算表!F29=0),0,IF(試算表!C32&lt;6,3,IF(AND(試算表!C32&gt;=40,試算表!C32&lt;=64),2,1))))</f>
        <v>0</v>
      </c>
      <c r="F19" s="117" t="str">
        <f>IF(試算表!C32="","",IF(試算表!J32&lt;=430000,0,試算表!J32-430000))</f>
        <v/>
      </c>
      <c r="G19" s="118">
        <f>IF(AND(試算表!C32&lt;&gt;"",OR(試算表!D32&gt;550000,試算表!F32&gt;0,試算表!E32&gt;IF(試算表!C32&gt;=65,1250000,550000))),1,0)</f>
        <v>0</v>
      </c>
      <c r="H19" s="112">
        <f>試算表!G32+D19</f>
        <v>0</v>
      </c>
      <c r="I19" s="112">
        <f>IF(試算表!H32=0,0,IF(試算表!C32&gt;=65,IF(試算表!H32&lt;150000,-試算表!H32,-150000))+試算表!H32)</f>
        <v>0</v>
      </c>
      <c r="J19" s="112">
        <f>試算表!I32</f>
        <v>0</v>
      </c>
      <c r="K19" s="117">
        <f>SUM(H19:J19)</f>
        <v>0</v>
      </c>
    </row>
    <row r="20" spans="2:32" x14ac:dyDescent="0.4">
      <c r="B20" s="89" t="s">
        <v>106</v>
      </c>
      <c r="C20" s="193" t="b">
        <f>AND(試算表!C33=0,SUM(試算表!D33:F33)&lt;&gt;0)=FALSE</f>
        <v>1</v>
      </c>
      <c r="D20" s="112">
        <f>IF(IF(AND(試算表!G33&lt;&gt;0,試算表!H33&lt;&gt;0),IF(試算表!G33&gt;試算表!H33,試算表!H33,試算表!G33),0)*-1&lt;=-100000,-100000,IF(AND(試算表!G33&lt;&gt;0,試算表!H33&lt;&gt;0),IF(試算表!G33&gt;試算表!H33,試算表!H33,試算表!G33),0)*-1)</f>
        <v>0</v>
      </c>
      <c r="E20" s="112">
        <f>IF(試算表!C33=0,0,IF(試算表!C33&lt;6,3,IF(AND(試算表!C33&gt;=40,試算表!C33&lt;=64),2,1)))</f>
        <v>0</v>
      </c>
      <c r="F20" s="117" t="str">
        <f>IF(試算表!C33="","",IF(試算表!J33&lt;=430000,0,試算表!J33-430000))</f>
        <v/>
      </c>
      <c r="G20" s="118">
        <f>IF(AND(試算表!C33&lt;&gt;"",OR(試算表!D33&gt;550000,試算表!F33&gt;0,試算表!E33&gt;IF(試算表!C33&gt;=65,1250000,550000))),1,0)</f>
        <v>0</v>
      </c>
      <c r="H20" s="112">
        <f>試算表!G33+D20</f>
        <v>0</v>
      </c>
      <c r="I20" s="112">
        <f>IF(試算表!H33=0,0,IF(試算表!C33&gt;=65,IF(試算表!H33&lt;150000,-試算表!H33,-150000))+試算表!H33)</f>
        <v>0</v>
      </c>
      <c r="J20" s="112">
        <f>試算表!I33</f>
        <v>0</v>
      </c>
      <c r="K20" s="117">
        <f>SUM(H20:J20)</f>
        <v>0</v>
      </c>
    </row>
    <row r="21" spans="2:32" x14ac:dyDescent="0.4">
      <c r="B21" s="89" t="s">
        <v>107</v>
      </c>
      <c r="C21" s="193" t="b">
        <f>AND(試算表!C34=0,SUM(試算表!D34:F34)&lt;&gt;0)=FALSE</f>
        <v>1</v>
      </c>
      <c r="D21" s="112">
        <f>IF(IF(AND(試算表!G34&lt;&gt;0,試算表!H34&lt;&gt;0),IF(試算表!G34&gt;試算表!H34,試算表!H34,試算表!G34),0)*-1&lt;=-100000,-100000,IF(AND(試算表!G34&lt;&gt;0,試算表!H34&lt;&gt;0),IF(試算表!G34&gt;試算表!H34,試算表!H34,試算表!G34),0)*-1)</f>
        <v>0</v>
      </c>
      <c r="E21" s="112">
        <f>IF(試算表!C34=0,0,IF(試算表!C34&lt;6,3,IF(AND(試算表!C34&gt;=40,試算表!C34&lt;=64),2,1)))</f>
        <v>0</v>
      </c>
      <c r="F21" s="117" t="str">
        <f>IF(試算表!C34="","",IF(試算表!J34&lt;=430000,0,試算表!J34-430000))</f>
        <v/>
      </c>
      <c r="G21" s="118">
        <f>IF(AND(試算表!C34&lt;&gt;"",OR(試算表!D34&gt;550000,試算表!F34&gt;0,試算表!E34&gt;IF(試算表!C34&gt;=65,1250000,550000))),1,0)</f>
        <v>0</v>
      </c>
      <c r="H21" s="112">
        <f>試算表!G34+D21</f>
        <v>0</v>
      </c>
      <c r="I21" s="112">
        <f>IF(試算表!H34=0,0,IF(試算表!C34&gt;=65,IF(試算表!H34&lt;150000,-試算表!H34,-150000))+試算表!H34)</f>
        <v>0</v>
      </c>
      <c r="J21" s="112">
        <f>試算表!I34</f>
        <v>0</v>
      </c>
      <c r="K21" s="117">
        <f>SUM(H21:J21)</f>
        <v>0</v>
      </c>
    </row>
    <row r="22" spans="2:32" x14ac:dyDescent="0.4">
      <c r="B22" s="89" t="s">
        <v>108</v>
      </c>
      <c r="C22" s="193" t="b">
        <f>AND(試算表!C35=0,SUM(試算表!D35:F35)&lt;&gt;0)=FALSE</f>
        <v>1</v>
      </c>
      <c r="D22" s="112">
        <f>IF(IF(AND(試算表!G35&lt;&gt;0,試算表!H35&lt;&gt;0),IF(試算表!G35&gt;試算表!H35,試算表!H35,試算表!G35),0)*-1&lt;=-100000,-100000,IF(AND(試算表!G35&lt;&gt;0,試算表!H35&lt;&gt;0),IF(試算表!G35&gt;試算表!H35,試算表!H35,試算表!G35),0)*-1)</f>
        <v>0</v>
      </c>
      <c r="E22" s="112">
        <f>IF(試算表!C35=0,0,IF(試算表!C35&lt;6,3,IF(AND(試算表!C35&gt;=40,試算表!C35&lt;=64),2,1)))</f>
        <v>0</v>
      </c>
      <c r="F22" s="117" t="str">
        <f>IF(試算表!C35="","",IF(試算表!J35&lt;=430000,0,試算表!J35-430000))</f>
        <v/>
      </c>
      <c r="G22" s="118">
        <f>IF(AND(試算表!C35&lt;&gt;"",OR(試算表!D35&gt;550000,試算表!F35&gt;0,試算表!E35&gt;IF(試算表!C35&gt;=65,1250000,550000))),1,0)</f>
        <v>0</v>
      </c>
      <c r="H22" s="112">
        <f>試算表!G35+D22</f>
        <v>0</v>
      </c>
      <c r="I22" s="112">
        <f>IF(試算表!H35=0,0,IF(試算表!C35&gt;=65,IF(試算表!H35&lt;150000,-試算表!H35,-150000))+試算表!H35)</f>
        <v>0</v>
      </c>
      <c r="J22" s="112">
        <f>試算表!I35</f>
        <v>0</v>
      </c>
      <c r="K22" s="117">
        <f>SUM(H22:J22)</f>
        <v>0</v>
      </c>
    </row>
    <row r="23" spans="2:32" ht="19.5" thickBot="1" x14ac:dyDescent="0.45">
      <c r="B23" s="90" t="s">
        <v>109</v>
      </c>
      <c r="C23" s="194" t="b">
        <f>AND(試算表!C36=0,SUM(試算表!D36:F36)&lt;&gt;0)=FALSE</f>
        <v>1</v>
      </c>
      <c r="D23" s="121">
        <f>IF(IF(AND(試算表!G36&lt;&gt;0,試算表!H36&lt;&gt;0),IF(試算表!G36&gt;試算表!H36,試算表!H36,試算表!G36),0)*-1&lt;=-100000,-100000,IF(AND(試算表!G36&lt;&gt;0,試算表!H36&lt;&gt;0),IF(試算表!G36&gt;試算表!H36,試算表!H36,試算表!G36),0)*-1)</f>
        <v>0</v>
      </c>
      <c r="E23" s="121">
        <f>IF(試算表!C36=0,0,IF(試算表!C36&lt;6,3,IF(AND(試算表!C36&gt;=40,試算表!C36&lt;=64),2,1)))</f>
        <v>0</v>
      </c>
      <c r="F23" s="119" t="str">
        <f>IF(試算表!C36="","",IF(試算表!J36&lt;=430000,0,試算表!J36-430000))</f>
        <v/>
      </c>
      <c r="G23" s="120">
        <f>IF(AND(試算表!C36&lt;&gt;"",OR(試算表!D36&gt;550000,試算表!F36&gt;0,試算表!E36&gt;IF(試算表!C36&gt;=65,1250000,550000))),1,0)</f>
        <v>0</v>
      </c>
      <c r="H23" s="121">
        <f>試算表!G36+D23</f>
        <v>0</v>
      </c>
      <c r="I23" s="121">
        <f>IF(試算表!H36=0,0,IF(試算表!C36&gt;=65,IF(試算表!H36&lt;150000,-試算表!H36,-150000))+試算表!H36)</f>
        <v>0</v>
      </c>
      <c r="J23" s="121">
        <f>試算表!I36</f>
        <v>0</v>
      </c>
      <c r="K23" s="119">
        <f>SUM(H23:J23)</f>
        <v>0</v>
      </c>
    </row>
    <row r="24" spans="2:32" x14ac:dyDescent="0.4">
      <c r="C24" s="1"/>
      <c r="D24" s="105">
        <f>COUNTA(試算表!C32:C36)+IF(AND(試算表!F29=C7,試算表!C32&lt;&gt;""),-1,0)</f>
        <v>0</v>
      </c>
      <c r="F24" s="106" t="s">
        <v>101</v>
      </c>
      <c r="G24" s="114">
        <f>SUM(G19:G23)</f>
        <v>0</v>
      </c>
      <c r="J24" s="106" t="s">
        <v>102</v>
      </c>
      <c r="K24" s="188">
        <f>IF(E36&lt;=D28,E28,IF(E36&lt;=D29,E29,IF(E36&lt;=D30,E30,E31)))</f>
        <v>0.3</v>
      </c>
    </row>
    <row r="25" spans="2:32" x14ac:dyDescent="0.4">
      <c r="C25" s="1"/>
      <c r="D25" s="105" t="s">
        <v>110</v>
      </c>
    </row>
    <row r="26" spans="2:32" x14ac:dyDescent="0.4">
      <c r="T26" s="105"/>
    </row>
    <row r="27" spans="2:32" x14ac:dyDescent="0.4">
      <c r="B27" s="109" t="s">
        <v>102</v>
      </c>
      <c r="C27" s="109" t="s">
        <v>103</v>
      </c>
      <c r="D27" s="109" t="s">
        <v>104</v>
      </c>
      <c r="E27" s="129" t="s">
        <v>102</v>
      </c>
      <c r="F27" s="130" t="s">
        <v>105</v>
      </c>
      <c r="G27" s="131"/>
      <c r="H27" s="131"/>
      <c r="I27" s="131"/>
      <c r="J27" s="131"/>
      <c r="K27" s="131"/>
      <c r="L27" s="131"/>
      <c r="M27" s="132"/>
      <c r="T27" s="105"/>
    </row>
    <row r="28" spans="2:32" x14ac:dyDescent="0.4">
      <c r="B28" s="156">
        <v>0.3</v>
      </c>
      <c r="C28" s="157" t="s">
        <v>60</v>
      </c>
      <c r="D28" s="128">
        <f>430000+IF($G$24=0,0,($G$24-1))*100000</f>
        <v>430000</v>
      </c>
      <c r="E28" s="137">
        <v>0.3</v>
      </c>
      <c r="F28" s="129" t="s">
        <v>62</v>
      </c>
      <c r="G28" s="126"/>
      <c r="H28" s="126"/>
      <c r="I28" s="126"/>
      <c r="J28" s="126"/>
      <c r="K28" s="126"/>
      <c r="L28" s="126"/>
      <c r="M28" s="138"/>
      <c r="N28" s="116"/>
      <c r="O28" s="116"/>
      <c r="P28" s="116"/>
      <c r="Q28" s="116"/>
      <c r="R28" s="116"/>
      <c r="S28" s="116"/>
      <c r="T28" s="116"/>
      <c r="U28" s="4"/>
      <c r="V28" s="4"/>
      <c r="W28" s="4"/>
      <c r="X28" s="4"/>
      <c r="Y28" s="4"/>
      <c r="Z28" s="4"/>
      <c r="AA28" s="4"/>
      <c r="AB28" s="4"/>
      <c r="AC28" s="4"/>
      <c r="AD28" s="4"/>
      <c r="AE28" s="4"/>
      <c r="AF28" s="4"/>
    </row>
    <row r="29" spans="2:32" x14ac:dyDescent="0.4">
      <c r="B29" s="156">
        <v>0.5</v>
      </c>
      <c r="C29" s="157" t="s">
        <v>59</v>
      </c>
      <c r="D29" s="128">
        <f>430000+IF($G$24=0,0,($G$24-1))*100000+$D$24*J13</f>
        <v>430000</v>
      </c>
      <c r="E29" s="137">
        <v>0.5</v>
      </c>
      <c r="F29" s="134" t="str">
        <f>"軽減判定額が43万円＋（給与所得者等の数-1）×10万円＋（"&amp;J13/10000&amp;"万円×加入者等）　以下"</f>
        <v>軽減判定額が43万円＋（給与所得者等の数-1）×10万円＋（29.5万円×加入者等）　以下</v>
      </c>
      <c r="M29" s="142"/>
      <c r="T29" s="105"/>
    </row>
    <row r="30" spans="2:32" x14ac:dyDescent="0.4">
      <c r="B30" s="156">
        <v>0.8</v>
      </c>
      <c r="C30" s="157" t="s">
        <v>58</v>
      </c>
      <c r="D30" s="128">
        <f>430000+IF($G$24=0,0,($G$24-1))*100000+$D$24*J14</f>
        <v>430000</v>
      </c>
      <c r="E30" s="137">
        <v>0.8</v>
      </c>
      <c r="F30" s="129" t="str">
        <f>"軽減判定額が43万円＋（給与所得者等の数-1）×10万円＋（"&amp;J14/10000&amp;"万円×加入者等）　以下"</f>
        <v>軽減判定額が43万円＋（給与所得者等の数-1）×10万円＋（54.5万円×加入者等）　以下</v>
      </c>
      <c r="G30" s="126"/>
      <c r="H30" s="126"/>
      <c r="I30" s="126"/>
      <c r="J30" s="126"/>
      <c r="K30" s="126"/>
      <c r="L30" s="126"/>
      <c r="M30" s="138"/>
      <c r="T30" s="105"/>
    </row>
    <row r="31" spans="2:32" x14ac:dyDescent="0.4">
      <c r="B31" s="156">
        <v>1</v>
      </c>
      <c r="C31" s="157" t="s">
        <v>61</v>
      </c>
      <c r="D31" s="112"/>
      <c r="E31" s="137">
        <v>1</v>
      </c>
      <c r="F31" s="129" t="str">
        <f>"軽減判定額が43万円＋（給与所得者等の数-1）×10万円＋（"&amp;J14/10000&amp;"万円×加入者等）　超"</f>
        <v>軽減判定額が43万円＋（給与所得者等の数-1）×10万円＋（54.5万円×加入者等）　超</v>
      </c>
      <c r="G31" s="143"/>
      <c r="H31" s="143"/>
      <c r="I31" s="143"/>
      <c r="J31" s="143"/>
      <c r="K31" s="143"/>
      <c r="L31" s="143"/>
      <c r="M31" s="144"/>
      <c r="T31" s="105"/>
    </row>
    <row r="32" spans="2:32" x14ac:dyDescent="0.4">
      <c r="C32" s="107" t="s">
        <v>73</v>
      </c>
      <c r="T32" s="105"/>
    </row>
    <row r="33" spans="2:21" x14ac:dyDescent="0.4">
      <c r="C33" s="105" t="s">
        <v>93</v>
      </c>
      <c r="T33" s="105"/>
    </row>
    <row r="34" spans="2:21" x14ac:dyDescent="0.4">
      <c r="M34" s="115"/>
      <c r="N34" s="122"/>
      <c r="O34" s="122"/>
      <c r="T34" s="105"/>
    </row>
    <row r="35" spans="2:21" ht="27" x14ac:dyDescent="0.4">
      <c r="D35" s="123" t="s">
        <v>75</v>
      </c>
      <c r="E35" s="108" t="s">
        <v>57</v>
      </c>
      <c r="F35" s="124" t="s">
        <v>2</v>
      </c>
      <c r="S35" s="122"/>
    </row>
    <row r="36" spans="2:21" x14ac:dyDescent="0.4">
      <c r="B36" s="146" t="s">
        <v>76</v>
      </c>
      <c r="C36" s="132"/>
      <c r="D36" s="127">
        <f>SUM(D37:D39)</f>
        <v>0</v>
      </c>
      <c r="E36" s="128">
        <f>SUM(E37:E40)</f>
        <v>0</v>
      </c>
      <c r="F36" s="128">
        <f>SUM(F37:F39)</f>
        <v>0</v>
      </c>
      <c r="G36" s="105" t="s">
        <v>14</v>
      </c>
      <c r="S36" s="122"/>
    </row>
    <row r="37" spans="2:21" x14ac:dyDescent="0.4">
      <c r="B37" s="146" t="s">
        <v>77</v>
      </c>
      <c r="C37" s="182" t="s">
        <v>11</v>
      </c>
      <c r="D37" s="134">
        <f>COUNTIF($E$19:$E$23,2)</f>
        <v>0</v>
      </c>
      <c r="E37" s="135">
        <f>SUMIFS($K$19:$K$23,$E$19:$E$23,2,$G$19:$G$23,1)</f>
        <v>0</v>
      </c>
      <c r="F37" s="136">
        <f>SUMIF($E$19:$E$23,2,$F$19:$F$23)</f>
        <v>0</v>
      </c>
      <c r="G37" s="105" t="s">
        <v>15</v>
      </c>
      <c r="S37" s="122"/>
    </row>
    <row r="38" spans="2:21" x14ac:dyDescent="0.4">
      <c r="B38" s="139" t="s">
        <v>77</v>
      </c>
      <c r="C38" s="181" t="s">
        <v>12</v>
      </c>
      <c r="D38" s="140">
        <f>COUNTIF($E$19:$E$23,3)</f>
        <v>0</v>
      </c>
      <c r="E38" s="114">
        <f>SUMIFS($K$19:$K$23,$E$19:$E$23,3,$G$19:$G$23,1)</f>
        <v>0</v>
      </c>
      <c r="F38" s="141">
        <f>SUMIF($E$19:$E$23,3,$F$19:$F$23)</f>
        <v>0</v>
      </c>
      <c r="S38" s="122"/>
    </row>
    <row r="39" spans="2:21" x14ac:dyDescent="0.4">
      <c r="B39" s="125" t="s">
        <v>77</v>
      </c>
      <c r="C39" s="180" t="s">
        <v>13</v>
      </c>
      <c r="D39" s="109">
        <f>COUNTIF($E$19:$E$23,1)</f>
        <v>0</v>
      </c>
      <c r="E39" s="109">
        <f>SUMIFS($K$19:$K$23,$E$19:$E$23,1,$G$19:$G$23,1)</f>
        <v>0</v>
      </c>
      <c r="F39" s="112">
        <f>SUMIF($E$19:$E$23,1,$F$19:$F$23)</f>
        <v>0</v>
      </c>
      <c r="G39" s="106"/>
      <c r="S39" s="122"/>
    </row>
    <row r="40" spans="2:21" x14ac:dyDescent="0.4">
      <c r="B40" s="139" t="s">
        <v>77</v>
      </c>
      <c r="C40" s="181" t="s">
        <v>97</v>
      </c>
      <c r="D40" s="178" t="s">
        <v>132</v>
      </c>
      <c r="E40" s="112">
        <f>SUMIFS($K$19:$K$23,$E$19:$E$23,4,$G$19:$G$23,1)</f>
        <v>0</v>
      </c>
      <c r="F40" s="179" t="s">
        <v>132</v>
      </c>
      <c r="S40" s="122"/>
    </row>
    <row r="41" spans="2:21" x14ac:dyDescent="0.4">
      <c r="H41" s="122"/>
      <c r="Q41" s="145"/>
      <c r="S41" s="122"/>
    </row>
    <row r="42" spans="2:21" x14ac:dyDescent="0.4">
      <c r="B42" s="130"/>
      <c r="C42" s="132"/>
      <c r="D42" s="108" t="s">
        <v>16</v>
      </c>
      <c r="E42" s="132"/>
      <c r="F42" s="130" t="s">
        <v>17</v>
      </c>
      <c r="G42" s="131"/>
      <c r="H42" s="131"/>
      <c r="I42" s="132"/>
      <c r="U42" s="76"/>
    </row>
    <row r="43" spans="2:21" x14ac:dyDescent="0.4">
      <c r="B43" s="146" t="s">
        <v>3</v>
      </c>
      <c r="C43" s="147" t="s">
        <v>6</v>
      </c>
      <c r="D43" s="135">
        <f>INT(F36*J3)</f>
        <v>0</v>
      </c>
      <c r="E43" s="148">
        <f>D43</f>
        <v>0</v>
      </c>
      <c r="F43" s="130" t="str">
        <f>"A*"&amp;J3*100&amp;"%"</f>
        <v>A*7%</v>
      </c>
      <c r="G43" s="131"/>
      <c r="H43" s="131"/>
      <c r="I43" s="132"/>
      <c r="U43" s="76"/>
    </row>
    <row r="44" spans="2:21" x14ac:dyDescent="0.4">
      <c r="B44" s="134"/>
      <c r="C44" s="142" t="s">
        <v>7</v>
      </c>
      <c r="D44" s="136">
        <f>(D39+D37)*J4+D38*J4/2</f>
        <v>0</v>
      </c>
      <c r="E44" s="149">
        <f>D44*$K$24</f>
        <v>0</v>
      </c>
      <c r="F44" s="134" t="str">
        <f>"1人　"&amp;J4&amp;"円、6歳未満の人の場合"&amp;J4/2&amp;"円"</f>
        <v>1人　25600円、6歳未満の人の場合12800円</v>
      </c>
      <c r="I44" s="142"/>
      <c r="T44" s="76"/>
      <c r="U44" s="76"/>
    </row>
    <row r="45" spans="2:21" x14ac:dyDescent="0.4">
      <c r="B45" s="134"/>
      <c r="C45" s="142" t="s">
        <v>8</v>
      </c>
      <c r="D45" s="136">
        <f>IF(D24=0,0,J5)</f>
        <v>0</v>
      </c>
      <c r="E45" s="149">
        <f>D45*$K$24</f>
        <v>0</v>
      </c>
      <c r="F45" s="134" t="str">
        <f>"1世帯につき"&amp;J5&amp;"円"</f>
        <v>1世帯につき16800円</v>
      </c>
      <c r="I45" s="142"/>
      <c r="P45" s="145"/>
      <c r="Q45" s="145"/>
    </row>
    <row r="46" spans="2:21" x14ac:dyDescent="0.4">
      <c r="B46" s="140"/>
      <c r="C46" s="150" t="s">
        <v>19</v>
      </c>
      <c r="D46" s="141">
        <f>IF(SUM(D43:D45)&gt;=J6,J6,INT(SUM(D43:D45)/100)*100)</f>
        <v>0</v>
      </c>
      <c r="E46" s="151">
        <f>IF(SUM(E43:E45)&gt;=J6,J6,INT(SUM(E43:E45)/100)*100)</f>
        <v>0</v>
      </c>
      <c r="F46" s="140" t="str">
        <f>"限度額"&amp;J6&amp;"""円"</f>
        <v>限度額650000"円</v>
      </c>
      <c r="G46" s="143"/>
      <c r="H46" s="143"/>
      <c r="I46" s="144"/>
      <c r="P46" s="145"/>
      <c r="Q46" s="145"/>
    </row>
    <row r="47" spans="2:21" x14ac:dyDescent="0.4">
      <c r="B47" s="146" t="s">
        <v>4</v>
      </c>
      <c r="C47" s="132" t="s">
        <v>6</v>
      </c>
      <c r="D47" s="135">
        <f>INT(F36*J7)</f>
        <v>0</v>
      </c>
      <c r="E47" s="148">
        <f>D47</f>
        <v>0</v>
      </c>
      <c r="F47" s="134" t="str">
        <f>"A*"&amp;J7*100&amp;"%"</f>
        <v>A*2.68%</v>
      </c>
      <c r="I47" s="142"/>
    </row>
    <row r="48" spans="2:21" x14ac:dyDescent="0.4">
      <c r="B48" s="133"/>
      <c r="C48" s="142" t="s">
        <v>7</v>
      </c>
      <c r="D48" s="136">
        <f>(D39+D37)*J8+D38*J8/2</f>
        <v>0</v>
      </c>
      <c r="E48" s="149">
        <f>D48*$K$24</f>
        <v>0</v>
      </c>
      <c r="F48" s="134" t="str">
        <f>"1人　"&amp;J8&amp;"円、6歳未満の人の場合"&amp;J8/2&amp;"円"</f>
        <v>1人　12700円、6歳未満の人の場合6350円</v>
      </c>
      <c r="I48" s="142"/>
    </row>
    <row r="49" spans="2:9" x14ac:dyDescent="0.4">
      <c r="B49" s="140"/>
      <c r="C49" s="150" t="s">
        <v>20</v>
      </c>
      <c r="D49" s="152">
        <f>IF(SUM(D47:D48)&gt;=J9,J9,INT(SUM(D47:D48)/100)*100)</f>
        <v>0</v>
      </c>
      <c r="E49" s="151">
        <f>IF(SUM(E47:E48)&gt;=J9,J9,INT(SUM(E47:E48)/100)*100)</f>
        <v>0</v>
      </c>
      <c r="F49" s="134" t="str">
        <f>"限度額"&amp;J9&amp;"""円"</f>
        <v>限度額220000"円</v>
      </c>
      <c r="I49" s="142"/>
    </row>
    <row r="50" spans="2:9" x14ac:dyDescent="0.4">
      <c r="B50" s="146" t="s">
        <v>5</v>
      </c>
      <c r="C50" s="132" t="s">
        <v>6</v>
      </c>
      <c r="D50" s="135">
        <f>INT(F37*J10)</f>
        <v>0</v>
      </c>
      <c r="E50" s="148">
        <f>D50</f>
        <v>0</v>
      </c>
      <c r="F50" s="130" t="str">
        <f>"B*"&amp;J10*100&amp;"%"</f>
        <v>B*2.27%</v>
      </c>
      <c r="G50" s="131"/>
      <c r="H50" s="131"/>
      <c r="I50" s="132"/>
    </row>
    <row r="51" spans="2:9" x14ac:dyDescent="0.4">
      <c r="B51" s="134"/>
      <c r="C51" s="142" t="s">
        <v>7</v>
      </c>
      <c r="D51" s="136">
        <f>D37*J11</f>
        <v>0</v>
      </c>
      <c r="E51" s="149">
        <f>D51*$K$24</f>
        <v>0</v>
      </c>
      <c r="F51" s="134" t="str">
        <f>"40～64歳の人*"&amp;J11&amp;"円"</f>
        <v>40～64歳の人*14200円</v>
      </c>
      <c r="I51" s="142"/>
    </row>
    <row r="52" spans="2:9" x14ac:dyDescent="0.4">
      <c r="B52" s="140"/>
      <c r="C52" s="150" t="s">
        <v>21</v>
      </c>
      <c r="D52" s="141">
        <f>IF(SUM(D50:D51)&gt;=J12,J12,INT(SUM(D50:D51)/100)*100)</f>
        <v>0</v>
      </c>
      <c r="E52" s="151">
        <f>IF(SUM(E50:E51)&gt;=J12,J12,INT(SUM(E50:E51)/100)*100)</f>
        <v>0</v>
      </c>
      <c r="F52" s="140" t="str">
        <f>"限度額"&amp;J12&amp;"""円"</f>
        <v>限度額170000"円</v>
      </c>
      <c r="G52" s="143"/>
      <c r="H52" s="143"/>
      <c r="I52" s="144"/>
    </row>
    <row r="53" spans="2:9" x14ac:dyDescent="0.4">
      <c r="B53" s="130"/>
      <c r="C53" s="153" t="s">
        <v>9</v>
      </c>
      <c r="D53" s="135">
        <f>D46+D49+D52</f>
        <v>0</v>
      </c>
      <c r="E53" s="108"/>
      <c r="F53" s="134" t="s">
        <v>80</v>
      </c>
      <c r="I53" s="142"/>
    </row>
    <row r="54" spans="2:9" x14ac:dyDescent="0.4">
      <c r="B54" s="140"/>
      <c r="C54" s="150" t="s">
        <v>78</v>
      </c>
      <c r="D54" s="141"/>
      <c r="E54" s="158" t="str">
        <f>VLOOKUP(K24,$B$28:$C$31,2,FALSE)</f>
        <v>７割軽減</v>
      </c>
      <c r="F54" s="134" t="s">
        <v>96</v>
      </c>
      <c r="I54" s="142"/>
    </row>
    <row r="55" spans="2:9" x14ac:dyDescent="0.4">
      <c r="B55" s="134"/>
      <c r="C55" s="154" t="s">
        <v>18</v>
      </c>
      <c r="D55" s="136"/>
      <c r="E55" s="149">
        <f>E46+E49+E52</f>
        <v>0</v>
      </c>
      <c r="F55" s="130" t="s">
        <v>79</v>
      </c>
      <c r="G55" s="131"/>
      <c r="H55" s="131"/>
      <c r="I55" s="132"/>
    </row>
    <row r="56" spans="2:9" x14ac:dyDescent="0.4">
      <c r="B56" s="140"/>
      <c r="C56" s="150" t="s">
        <v>74</v>
      </c>
      <c r="D56" s="152"/>
      <c r="E56" s="155">
        <f>INT(E55/12)</f>
        <v>0</v>
      </c>
      <c r="F56" s="140" t="s">
        <v>89</v>
      </c>
      <c r="G56" s="143"/>
      <c r="H56" s="143"/>
      <c r="I56" s="144"/>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
  <sheetViews>
    <sheetView workbookViewId="0">
      <selection sqref="A1:J1"/>
    </sheetView>
  </sheetViews>
  <sheetFormatPr defaultRowHeight="18.75" x14ac:dyDescent="0.4"/>
  <cols>
    <col min="1" max="1" width="12.375" bestFit="1" customWidth="1"/>
    <col min="2" max="2" width="13.875" bestFit="1" customWidth="1"/>
    <col min="3" max="3" width="19.5" bestFit="1" customWidth="1"/>
    <col min="4" max="4" width="4.875" bestFit="1" customWidth="1"/>
    <col min="5" max="5" width="13.375" bestFit="1" customWidth="1"/>
    <col min="6" max="10" width="14.125" customWidth="1"/>
    <col min="11" max="11" width="12.5" customWidth="1"/>
  </cols>
  <sheetData>
    <row r="1" spans="1:11" ht="19.5" thickBot="1" x14ac:dyDescent="0.45"/>
    <row r="2" spans="1:11" ht="19.5" thickBot="1" x14ac:dyDescent="0.45">
      <c r="F2" s="49">
        <v>1</v>
      </c>
      <c r="G2" s="50">
        <v>2</v>
      </c>
      <c r="H2" s="50">
        <v>3</v>
      </c>
      <c r="I2" s="50">
        <v>4</v>
      </c>
      <c r="J2" s="51">
        <v>5</v>
      </c>
      <c r="K2" s="16" t="s">
        <v>0</v>
      </c>
    </row>
    <row r="3" spans="1:11" x14ac:dyDescent="0.4">
      <c r="A3" s="64" t="s">
        <v>66</v>
      </c>
      <c r="B3" s="65" t="s">
        <v>65</v>
      </c>
      <c r="C3" s="66" t="s">
        <v>64</v>
      </c>
      <c r="F3" s="52">
        <f>試算表!D32</f>
        <v>0</v>
      </c>
      <c r="G3" s="8">
        <f>試算表!D33</f>
        <v>0</v>
      </c>
      <c r="H3" s="8">
        <f>試算表!D34</f>
        <v>0</v>
      </c>
      <c r="I3" s="8">
        <f>試算表!D35</f>
        <v>0</v>
      </c>
      <c r="J3" s="53">
        <f>試算表!D36</f>
        <v>0</v>
      </c>
      <c r="K3" s="16" t="s">
        <v>23</v>
      </c>
    </row>
    <row r="4" spans="1:11" x14ac:dyDescent="0.4">
      <c r="A4" s="54">
        <v>0</v>
      </c>
      <c r="B4" s="7">
        <v>550999</v>
      </c>
      <c r="C4" s="67">
        <v>0</v>
      </c>
      <c r="D4" s="62">
        <v>0</v>
      </c>
      <c r="E4" s="48">
        <v>0</v>
      </c>
      <c r="F4" s="54">
        <f>IF(AND(F$3&gt;=$A4,F$3&lt;=$B4),F$3*$D4+$E4,0)</f>
        <v>0</v>
      </c>
      <c r="G4" s="7">
        <f>IF(AND(G$3&gt;=$A4,G$3&lt;=$B4),G$3*$D4+$E4,0)</f>
        <v>0</v>
      </c>
      <c r="H4" s="7">
        <f>IF(AND(H$3&gt;=$A4,H$3&lt;=$B4),H$3*$D4+$E4,0)</f>
        <v>0</v>
      </c>
      <c r="I4" s="7">
        <f>IF(AND(I$3&gt;=$A4,I$3&lt;=$B4),I$3*$D4+$E4,0)</f>
        <v>0</v>
      </c>
      <c r="J4" s="55">
        <f>IF(AND(J$3&gt;=$A4,J$3&lt;=$B4),J$3*$D4+$E4,0)</f>
        <v>0</v>
      </c>
    </row>
    <row r="5" spans="1:11" x14ac:dyDescent="0.4">
      <c r="A5" s="54">
        <v>551000</v>
      </c>
      <c r="B5" s="7">
        <v>1618999</v>
      </c>
      <c r="C5" s="67">
        <v>-550000</v>
      </c>
      <c r="D5" s="63">
        <v>1</v>
      </c>
      <c r="E5" s="48">
        <v>-550000</v>
      </c>
      <c r="F5" s="54">
        <f t="shared" ref="F5:J13" si="0">IF(AND(F$3&gt;=$A5,F$3&lt;=$B5),F$3*$D5+$E5,0)</f>
        <v>0</v>
      </c>
      <c r="G5" s="7">
        <f t="shared" si="0"/>
        <v>0</v>
      </c>
      <c r="H5" s="7">
        <f t="shared" si="0"/>
        <v>0</v>
      </c>
      <c r="I5" s="7">
        <f t="shared" si="0"/>
        <v>0</v>
      </c>
      <c r="J5" s="55">
        <f t="shared" si="0"/>
        <v>0</v>
      </c>
    </row>
    <row r="6" spans="1:11" x14ac:dyDescent="0.4">
      <c r="A6" s="54">
        <v>1619000</v>
      </c>
      <c r="B6" s="7">
        <v>1619999</v>
      </c>
      <c r="C6" s="67" t="s">
        <v>28</v>
      </c>
      <c r="D6" s="63">
        <v>0.6</v>
      </c>
      <c r="E6" s="48">
        <v>97600</v>
      </c>
      <c r="F6" s="54">
        <f>IF(AND(F$3&gt;=$A6,F$3&lt;=$B6),F$3*$D6+$E6,0)</f>
        <v>0</v>
      </c>
      <c r="G6" s="7">
        <f t="shared" si="0"/>
        <v>0</v>
      </c>
      <c r="H6" s="7">
        <f t="shared" si="0"/>
        <v>0</v>
      </c>
      <c r="I6" s="7">
        <f t="shared" si="0"/>
        <v>0</v>
      </c>
      <c r="J6" s="55">
        <f t="shared" si="0"/>
        <v>0</v>
      </c>
    </row>
    <row r="7" spans="1:11" x14ac:dyDescent="0.4">
      <c r="A7" s="54">
        <v>1620000</v>
      </c>
      <c r="B7" s="7">
        <v>1621999</v>
      </c>
      <c r="C7" s="67" t="s">
        <v>29</v>
      </c>
      <c r="D7" s="63">
        <v>0.6</v>
      </c>
      <c r="E7" s="48">
        <v>98000</v>
      </c>
      <c r="F7" s="54">
        <f t="shared" si="0"/>
        <v>0</v>
      </c>
      <c r="G7" s="7">
        <f t="shared" si="0"/>
        <v>0</v>
      </c>
      <c r="H7" s="7">
        <f t="shared" si="0"/>
        <v>0</v>
      </c>
      <c r="I7" s="7">
        <f t="shared" si="0"/>
        <v>0</v>
      </c>
      <c r="J7" s="55">
        <f t="shared" si="0"/>
        <v>0</v>
      </c>
    </row>
    <row r="8" spans="1:11" x14ac:dyDescent="0.4">
      <c r="A8" s="54">
        <v>1622000</v>
      </c>
      <c r="B8" s="7">
        <v>1623999</v>
      </c>
      <c r="C8" s="67" t="s">
        <v>30</v>
      </c>
      <c r="D8" s="63">
        <v>0.6</v>
      </c>
      <c r="E8" s="48">
        <v>98800</v>
      </c>
      <c r="F8" s="54">
        <f t="shared" si="0"/>
        <v>0</v>
      </c>
      <c r="G8" s="7">
        <f t="shared" si="0"/>
        <v>0</v>
      </c>
      <c r="H8" s="7">
        <f t="shared" si="0"/>
        <v>0</v>
      </c>
      <c r="I8" s="7">
        <f t="shared" si="0"/>
        <v>0</v>
      </c>
      <c r="J8" s="55">
        <f t="shared" si="0"/>
        <v>0</v>
      </c>
    </row>
    <row r="9" spans="1:11" x14ac:dyDescent="0.4">
      <c r="A9" s="54">
        <v>1624000</v>
      </c>
      <c r="B9" s="7">
        <v>1627999</v>
      </c>
      <c r="C9" s="67" t="s">
        <v>31</v>
      </c>
      <c r="D9" s="63">
        <v>0.6</v>
      </c>
      <c r="E9" s="48">
        <v>99600</v>
      </c>
      <c r="F9" s="54">
        <f t="shared" si="0"/>
        <v>0</v>
      </c>
      <c r="G9" s="7">
        <f t="shared" si="0"/>
        <v>0</v>
      </c>
      <c r="H9" s="7">
        <f t="shared" si="0"/>
        <v>0</v>
      </c>
      <c r="I9" s="7">
        <f t="shared" si="0"/>
        <v>0</v>
      </c>
      <c r="J9" s="55">
        <f t="shared" si="0"/>
        <v>0</v>
      </c>
    </row>
    <row r="10" spans="1:11" x14ac:dyDescent="0.4">
      <c r="A10" s="54">
        <v>1628000</v>
      </c>
      <c r="B10" s="7">
        <v>1799999</v>
      </c>
      <c r="C10" s="67" t="s">
        <v>32</v>
      </c>
      <c r="D10" s="63">
        <v>2.4</v>
      </c>
      <c r="E10" s="48">
        <v>100000</v>
      </c>
      <c r="F10" s="54">
        <f t="shared" ref="F10:J12" si="1">IF(AND(F$3&gt;=$A10,F$3&lt;=$B10),INT(F$3/4/1000)*1000*$D10+$E10,0)</f>
        <v>0</v>
      </c>
      <c r="G10" s="7">
        <f t="shared" si="1"/>
        <v>0</v>
      </c>
      <c r="H10" s="7">
        <f t="shared" si="1"/>
        <v>0</v>
      </c>
      <c r="I10" s="7">
        <f t="shared" si="1"/>
        <v>0</v>
      </c>
      <c r="J10" s="55">
        <f t="shared" si="1"/>
        <v>0</v>
      </c>
    </row>
    <row r="11" spans="1:11" x14ac:dyDescent="0.4">
      <c r="A11" s="54">
        <v>1800000</v>
      </c>
      <c r="B11" s="7">
        <v>3599999</v>
      </c>
      <c r="C11" s="67" t="s">
        <v>33</v>
      </c>
      <c r="D11" s="63">
        <v>2.8</v>
      </c>
      <c r="E11" s="48">
        <v>-80000</v>
      </c>
      <c r="F11" s="54">
        <f t="shared" si="1"/>
        <v>0</v>
      </c>
      <c r="G11" s="7">
        <f t="shared" si="1"/>
        <v>0</v>
      </c>
      <c r="H11" s="7">
        <f t="shared" si="1"/>
        <v>0</v>
      </c>
      <c r="I11" s="7">
        <f t="shared" si="1"/>
        <v>0</v>
      </c>
      <c r="J11" s="55">
        <f t="shared" si="1"/>
        <v>0</v>
      </c>
    </row>
    <row r="12" spans="1:11" x14ac:dyDescent="0.4">
      <c r="A12" s="54">
        <v>3600000</v>
      </c>
      <c r="B12" s="7">
        <v>6599999</v>
      </c>
      <c r="C12" s="67" t="s">
        <v>34</v>
      </c>
      <c r="D12" s="63">
        <v>3.2</v>
      </c>
      <c r="E12" s="48">
        <v>-440000</v>
      </c>
      <c r="F12" s="54">
        <f t="shared" si="1"/>
        <v>0</v>
      </c>
      <c r="G12" s="7">
        <f>IF(AND(G$3&gt;=$A12,G$3&lt;=$B12),INT(G$3/4/1000)*1000*$D12+$E12,0)</f>
        <v>0</v>
      </c>
      <c r="H12" s="7">
        <f t="shared" si="1"/>
        <v>0</v>
      </c>
      <c r="I12" s="7">
        <f t="shared" si="1"/>
        <v>0</v>
      </c>
      <c r="J12" s="55">
        <f t="shared" si="1"/>
        <v>0</v>
      </c>
    </row>
    <row r="13" spans="1:11" x14ac:dyDescent="0.4">
      <c r="A13" s="54">
        <v>6600000</v>
      </c>
      <c r="B13" s="7">
        <v>8499999</v>
      </c>
      <c r="C13" s="67" t="s">
        <v>35</v>
      </c>
      <c r="D13" s="63">
        <v>0.9</v>
      </c>
      <c r="E13" s="48">
        <v>-1100000</v>
      </c>
      <c r="F13" s="54">
        <f t="shared" si="0"/>
        <v>0</v>
      </c>
      <c r="G13" s="7">
        <f t="shared" si="0"/>
        <v>0</v>
      </c>
      <c r="H13" s="7">
        <f t="shared" si="0"/>
        <v>0</v>
      </c>
      <c r="I13" s="7">
        <f t="shared" si="0"/>
        <v>0</v>
      </c>
      <c r="J13" s="55">
        <f t="shared" si="0"/>
        <v>0</v>
      </c>
    </row>
    <row r="14" spans="1:11" ht="19.5" thickBot="1" x14ac:dyDescent="0.45">
      <c r="A14" s="56">
        <v>8500000</v>
      </c>
      <c r="B14" s="57">
        <v>20000000</v>
      </c>
      <c r="C14" s="68">
        <v>-1950000</v>
      </c>
      <c r="D14" s="63">
        <v>1</v>
      </c>
      <c r="E14" s="48">
        <v>-1950000</v>
      </c>
      <c r="F14" s="56">
        <f>IF(F$3&gt;=$A14,F$3*$D14+$E14,0)</f>
        <v>0</v>
      </c>
      <c r="G14" s="57">
        <f t="shared" ref="G14:J14" si="2">IF(G$3&gt;=$A14,G$3*$D14+$E14,0)</f>
        <v>0</v>
      </c>
      <c r="H14" s="57">
        <f t="shared" si="2"/>
        <v>0</v>
      </c>
      <c r="I14" s="57">
        <f t="shared" si="2"/>
        <v>0</v>
      </c>
      <c r="J14" s="58">
        <f t="shared" si="2"/>
        <v>0</v>
      </c>
    </row>
    <row r="15" spans="1:11" ht="19.5" thickBot="1" x14ac:dyDescent="0.45">
      <c r="F15" s="59">
        <f>SUM(F4:F14)</f>
        <v>0</v>
      </c>
      <c r="G15" s="60">
        <f>SUM(G4:G14)</f>
        <v>0</v>
      </c>
      <c r="H15" s="60">
        <f>SUM(H4:H14)</f>
        <v>0</v>
      </c>
      <c r="I15" s="60">
        <f>SUM(I4:I14)</f>
        <v>0</v>
      </c>
      <c r="J15" s="61">
        <f>SUM(J4:J14)</f>
        <v>0</v>
      </c>
      <c r="K15" s="47" t="s">
        <v>24</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
  <sheetViews>
    <sheetView topLeftCell="C1" workbookViewId="0">
      <selection sqref="A1:J1"/>
    </sheetView>
  </sheetViews>
  <sheetFormatPr defaultRowHeight="18.75" x14ac:dyDescent="0.4"/>
  <cols>
    <col min="2" max="2" width="24.25" bestFit="1" customWidth="1"/>
    <col min="3" max="3" width="25" bestFit="1" customWidth="1"/>
    <col min="4" max="4" width="11.375" bestFit="1" customWidth="1"/>
    <col min="5" max="5" width="10.125" bestFit="1" customWidth="1"/>
    <col min="6" max="6" width="15.25" bestFit="1" customWidth="1"/>
    <col min="7" max="7" width="5.375" bestFit="1" customWidth="1"/>
    <col min="8" max="8" width="10.875" bestFit="1" customWidth="1"/>
    <col min="9" max="13" width="11.875" customWidth="1"/>
    <col min="14" max="14" width="9" bestFit="1" customWidth="1"/>
  </cols>
  <sheetData>
    <row r="1" spans="1:14" ht="19.5" thickBot="1" x14ac:dyDescent="0.45">
      <c r="I1" s="10" t="s">
        <v>67</v>
      </c>
      <c r="J1" s="10"/>
      <c r="K1" s="10"/>
      <c r="L1" s="10"/>
      <c r="M1" s="10"/>
    </row>
    <row r="2" spans="1:14" x14ac:dyDescent="0.4">
      <c r="I2" s="36">
        <v>1</v>
      </c>
      <c r="J2" s="37">
        <v>2</v>
      </c>
      <c r="K2" s="37">
        <v>3</v>
      </c>
      <c r="L2" s="37">
        <v>4</v>
      </c>
      <c r="M2" s="38">
        <v>5</v>
      </c>
      <c r="N2" s="16" t="s">
        <v>0</v>
      </c>
    </row>
    <row r="3" spans="1:14" ht="19.5" thickBot="1" x14ac:dyDescent="0.45">
      <c r="G3" s="11"/>
      <c r="H3" s="10"/>
      <c r="I3" s="39">
        <f>試算表!C32</f>
        <v>0</v>
      </c>
      <c r="J3" s="13">
        <f>試算表!C33</f>
        <v>0</v>
      </c>
      <c r="K3" s="13">
        <f>試算表!C34</f>
        <v>0</v>
      </c>
      <c r="L3" s="13">
        <f>試算表!C35</f>
        <v>0</v>
      </c>
      <c r="M3" s="40">
        <f>試算表!C36</f>
        <v>0</v>
      </c>
      <c r="N3" s="16" t="s">
        <v>72</v>
      </c>
    </row>
    <row r="4" spans="1:14" ht="19.5" thickBot="1" x14ac:dyDescent="0.45">
      <c r="B4" s="17" t="s">
        <v>37</v>
      </c>
      <c r="C4" s="23" t="s">
        <v>38</v>
      </c>
      <c r="D4" s="24" t="s">
        <v>66</v>
      </c>
      <c r="E4" s="24" t="s">
        <v>65</v>
      </c>
      <c r="F4" s="25" t="s">
        <v>64</v>
      </c>
      <c r="G4" s="20"/>
      <c r="H4" s="33"/>
      <c r="I4" s="83">
        <f>試算表!E32</f>
        <v>0</v>
      </c>
      <c r="J4" s="84">
        <f>試算表!E33</f>
        <v>0</v>
      </c>
      <c r="K4" s="84">
        <f>試算表!E34</f>
        <v>0</v>
      </c>
      <c r="L4" s="84">
        <f>試算表!E35</f>
        <v>0</v>
      </c>
      <c r="M4" s="85">
        <f>試算表!E36</f>
        <v>0</v>
      </c>
      <c r="N4" s="16" t="s">
        <v>63</v>
      </c>
    </row>
    <row r="5" spans="1:14" x14ac:dyDescent="0.4">
      <c r="A5" s="9" t="s">
        <v>36</v>
      </c>
      <c r="B5" s="18" t="s">
        <v>39</v>
      </c>
      <c r="C5" s="26" t="s">
        <v>40</v>
      </c>
      <c r="D5" s="14">
        <v>0</v>
      </c>
      <c r="E5" s="14">
        <f>D6-1</f>
        <v>599999</v>
      </c>
      <c r="F5" s="27">
        <v>0</v>
      </c>
      <c r="G5" s="21">
        <v>0</v>
      </c>
      <c r="H5" s="18">
        <v>0</v>
      </c>
      <c r="I5" s="80">
        <f>IF(AND(I$4&gt;=$D5,I$4&lt;=$E5,I$3&lt;65),I$4*$G5+$H5,0)</f>
        <v>0</v>
      </c>
      <c r="J5" s="81">
        <f>IF(AND(J$4&gt;=$D5,J$4&lt;=$E5,J$3&lt;65),J$4*$G5+$H5,0)</f>
        <v>0</v>
      </c>
      <c r="K5" s="81">
        <f t="shared" ref="J5:M9" si="0">IF(AND(K$4&gt;=$D5,K$4&lt;=$E5,K$3&lt;65),K$4*$G5+$H5,0)</f>
        <v>0</v>
      </c>
      <c r="L5" s="81">
        <f t="shared" si="0"/>
        <v>0</v>
      </c>
      <c r="M5" s="82">
        <f t="shared" si="0"/>
        <v>0</v>
      </c>
    </row>
    <row r="6" spans="1:14" x14ac:dyDescent="0.4">
      <c r="B6" s="18" t="s">
        <v>41</v>
      </c>
      <c r="C6" s="26" t="s">
        <v>42</v>
      </c>
      <c r="D6" s="14">
        <v>600000</v>
      </c>
      <c r="E6" s="14">
        <f>D7-1</f>
        <v>1299999</v>
      </c>
      <c r="F6" s="27">
        <v>-600000</v>
      </c>
      <c r="G6" s="21">
        <v>1</v>
      </c>
      <c r="H6" s="34">
        <v>-600000</v>
      </c>
      <c r="I6" s="41">
        <f>IF(AND(I$4&gt;=$D6,I$4&lt;=$E6,I$3&lt;65),I$4*$G6+$H6,0)</f>
        <v>0</v>
      </c>
      <c r="J6" s="14">
        <f>IF(AND(J$4&gt;=$D6,J$4&lt;=$E6,J$3&lt;65),J$4*$G6+$H6,0)</f>
        <v>0</v>
      </c>
      <c r="K6" s="14">
        <f t="shared" si="0"/>
        <v>0</v>
      </c>
      <c r="L6" s="14">
        <f t="shared" si="0"/>
        <v>0</v>
      </c>
      <c r="M6" s="42">
        <f t="shared" si="0"/>
        <v>0</v>
      </c>
    </row>
    <row r="7" spans="1:14" x14ac:dyDescent="0.4">
      <c r="B7" s="18" t="s">
        <v>43</v>
      </c>
      <c r="C7" s="26" t="s">
        <v>44</v>
      </c>
      <c r="D7" s="14">
        <v>1300000</v>
      </c>
      <c r="E7" s="14">
        <f>D8-1</f>
        <v>4099999</v>
      </c>
      <c r="F7" s="27" t="s">
        <v>68</v>
      </c>
      <c r="G7" s="21">
        <v>0.75</v>
      </c>
      <c r="H7" s="34">
        <v>-275000</v>
      </c>
      <c r="I7" s="41">
        <f>IF(AND(I$4&gt;=$D7,I$4&lt;=$E7,I$3&lt;65),I$4*$G7+$H7,0)</f>
        <v>0</v>
      </c>
      <c r="J7" s="14">
        <f t="shared" si="0"/>
        <v>0</v>
      </c>
      <c r="K7" s="14">
        <f>IF(AND(K$4&gt;=$D7,K$4&lt;=$E7,K$3&lt;65),K$4*$G7+$H7,0)</f>
        <v>0</v>
      </c>
      <c r="L7" s="14">
        <f t="shared" si="0"/>
        <v>0</v>
      </c>
      <c r="M7" s="42">
        <f t="shared" si="0"/>
        <v>0</v>
      </c>
    </row>
    <row r="8" spans="1:14" x14ac:dyDescent="0.4">
      <c r="B8" s="18" t="s">
        <v>45</v>
      </c>
      <c r="C8" s="26" t="s">
        <v>46</v>
      </c>
      <c r="D8" s="14">
        <v>4100000</v>
      </c>
      <c r="E8" s="14">
        <f>D9-1</f>
        <v>7699999</v>
      </c>
      <c r="F8" s="27" t="s">
        <v>69</v>
      </c>
      <c r="G8" s="21">
        <v>0.85</v>
      </c>
      <c r="H8" s="34">
        <v>-685000</v>
      </c>
      <c r="I8" s="41">
        <f>IF(AND(I$4&gt;=$D8,I$4&lt;=$E8,I$3&lt;65),I$4*$G8+$H8,0)</f>
        <v>0</v>
      </c>
      <c r="J8" s="14">
        <f t="shared" si="0"/>
        <v>0</v>
      </c>
      <c r="K8" s="14">
        <f>IF(AND(K$4&gt;=$D8,K$4&lt;=$E8,K$3&lt;65),K$4*$G8+$H8,0)</f>
        <v>0</v>
      </c>
      <c r="L8" s="14">
        <f t="shared" si="0"/>
        <v>0</v>
      </c>
      <c r="M8" s="42">
        <f t="shared" si="0"/>
        <v>0</v>
      </c>
    </row>
    <row r="9" spans="1:14" x14ac:dyDescent="0.4">
      <c r="B9" s="18" t="s">
        <v>47</v>
      </c>
      <c r="C9" s="26" t="s">
        <v>48</v>
      </c>
      <c r="D9" s="14">
        <v>7700000</v>
      </c>
      <c r="E9" s="14">
        <f>D10-1</f>
        <v>9999999</v>
      </c>
      <c r="F9" s="27" t="s">
        <v>70</v>
      </c>
      <c r="G9" s="21">
        <v>0.95</v>
      </c>
      <c r="H9" s="34">
        <v>1455000</v>
      </c>
      <c r="I9" s="41">
        <f>IF(AND(I$4&gt;=$D9,I$4&lt;=$E9,I$3&lt;65),I$4*$G9+$H9,0)</f>
        <v>0</v>
      </c>
      <c r="J9" s="14">
        <f t="shared" si="0"/>
        <v>0</v>
      </c>
      <c r="K9" s="14">
        <f>IF(AND(K$4&gt;=$D9,K$4&lt;=$E9,K$3&lt;65),K$4*$G9+$H9,0)</f>
        <v>0</v>
      </c>
      <c r="L9" s="14">
        <f t="shared" si="0"/>
        <v>0</v>
      </c>
      <c r="M9" s="42">
        <f t="shared" si="0"/>
        <v>0</v>
      </c>
    </row>
    <row r="10" spans="1:14" x14ac:dyDescent="0.4">
      <c r="B10" s="18" t="s">
        <v>49</v>
      </c>
      <c r="C10" s="26" t="s">
        <v>50</v>
      </c>
      <c r="D10" s="14">
        <v>10000000</v>
      </c>
      <c r="E10" s="14"/>
      <c r="F10" s="27">
        <v>-1955000</v>
      </c>
      <c r="G10" s="21">
        <v>1</v>
      </c>
      <c r="H10" s="34">
        <v>-1955000</v>
      </c>
      <c r="I10" s="41">
        <f>IF(AND(I$4&gt;=$D10,I$3&lt;65),I$4*$G10+$H10,0)</f>
        <v>0</v>
      </c>
      <c r="J10" s="14">
        <f>IF(AND(J$4&gt;=$D10,J$3&lt;65),J$4*$G10+$H10,0)</f>
        <v>0</v>
      </c>
      <c r="K10" s="14">
        <f>IF(AND(K$4&gt;=$D10,K$3&lt;65),K$4*$G10+$H10,0)</f>
        <v>0</v>
      </c>
      <c r="L10" s="14">
        <f>IF(AND(L$4&gt;=$D10,L$3&lt;65),L$4*$G10+$H10,0)</f>
        <v>0</v>
      </c>
      <c r="M10" s="42">
        <f>IF(AND(M$4&gt;=$D10,M$3&lt;65),M$4*$G10+$H10,0)</f>
        <v>0</v>
      </c>
    </row>
    <row r="11" spans="1:14" x14ac:dyDescent="0.4">
      <c r="A11" s="6" t="s">
        <v>51</v>
      </c>
      <c r="B11" s="19" t="s">
        <v>52</v>
      </c>
      <c r="C11" s="28" t="s">
        <v>53</v>
      </c>
      <c r="D11" s="15">
        <v>0</v>
      </c>
      <c r="E11" s="15">
        <f>D12-1</f>
        <v>1099999</v>
      </c>
      <c r="F11" s="29">
        <v>0</v>
      </c>
      <c r="G11" s="22">
        <v>0</v>
      </c>
      <c r="H11" s="35">
        <v>0</v>
      </c>
      <c r="I11" s="43">
        <f>IF(AND(I$4&gt;=$D11,I$4&lt;=$E11,I$3&gt;=65),I$4*$G11+$H11,0)</f>
        <v>0</v>
      </c>
      <c r="J11" s="15">
        <f t="shared" ref="J11:M15" si="1">IF(AND(J$4&gt;=$D11,J$4&lt;=$E11,J$3&gt;=65),J$4*$G11+$H11,0)</f>
        <v>0</v>
      </c>
      <c r="K11" s="15">
        <f t="shared" si="1"/>
        <v>0</v>
      </c>
      <c r="L11" s="15">
        <f t="shared" si="1"/>
        <v>0</v>
      </c>
      <c r="M11" s="44">
        <f t="shared" si="1"/>
        <v>0</v>
      </c>
    </row>
    <row r="12" spans="1:14" x14ac:dyDescent="0.4">
      <c r="B12" s="19" t="s">
        <v>54</v>
      </c>
      <c r="C12" s="28" t="s">
        <v>55</v>
      </c>
      <c r="D12" s="15">
        <v>1100000</v>
      </c>
      <c r="E12" s="15">
        <f>D13-1</f>
        <v>3299999</v>
      </c>
      <c r="F12" s="29">
        <v>-1100000</v>
      </c>
      <c r="G12" s="22">
        <v>1</v>
      </c>
      <c r="H12" s="35">
        <v>-1100000</v>
      </c>
      <c r="I12" s="43">
        <f t="shared" ref="I12:I15" si="2">IF(AND(I$4&gt;=$D12,I$4&lt;=$E12,I$3&gt;=65),I$4*$G12+$H12,0)</f>
        <v>0</v>
      </c>
      <c r="J12" s="15">
        <f>IF(AND(J$4&gt;=$D12,J$4&lt;=$E12,J$3&gt;=65),J$4*$G12+$H12,0)</f>
        <v>0</v>
      </c>
      <c r="K12" s="15">
        <f t="shared" si="1"/>
        <v>0</v>
      </c>
      <c r="L12" s="15">
        <f t="shared" si="1"/>
        <v>0</v>
      </c>
      <c r="M12" s="44">
        <f t="shared" si="1"/>
        <v>0</v>
      </c>
    </row>
    <row r="13" spans="1:14" x14ac:dyDescent="0.4">
      <c r="B13" s="19" t="s">
        <v>56</v>
      </c>
      <c r="C13" s="28" t="s">
        <v>44</v>
      </c>
      <c r="D13" s="15">
        <v>3300000</v>
      </c>
      <c r="E13" s="15">
        <f>D14-1</f>
        <v>4099999</v>
      </c>
      <c r="F13" s="29" t="s">
        <v>68</v>
      </c>
      <c r="G13" s="22">
        <v>0.75</v>
      </c>
      <c r="H13" s="35">
        <v>-275000</v>
      </c>
      <c r="I13" s="43">
        <f t="shared" si="2"/>
        <v>0</v>
      </c>
      <c r="J13" s="15">
        <f t="shared" si="1"/>
        <v>0</v>
      </c>
      <c r="K13" s="15">
        <f>IF(AND(K$4&gt;=$D13,K$4&lt;=$E13,K$3&gt;=65),K$4*$G13+$H13,0)</f>
        <v>0</v>
      </c>
      <c r="L13" s="15">
        <f t="shared" si="1"/>
        <v>0</v>
      </c>
      <c r="M13" s="44">
        <f t="shared" si="1"/>
        <v>0</v>
      </c>
    </row>
    <row r="14" spans="1:14" x14ac:dyDescent="0.4">
      <c r="B14" s="19" t="s">
        <v>45</v>
      </c>
      <c r="C14" s="28" t="s">
        <v>46</v>
      </c>
      <c r="D14" s="15">
        <v>4100000</v>
      </c>
      <c r="E14" s="15">
        <f>D15-1</f>
        <v>7699999</v>
      </c>
      <c r="F14" s="29" t="s">
        <v>69</v>
      </c>
      <c r="G14" s="22">
        <v>0.85</v>
      </c>
      <c r="H14" s="35">
        <v>-685000</v>
      </c>
      <c r="I14" s="43">
        <f t="shared" si="2"/>
        <v>0</v>
      </c>
      <c r="J14" s="15">
        <f t="shared" si="1"/>
        <v>0</v>
      </c>
      <c r="K14" s="15">
        <f>IF(AND(K$4&gt;=$D14,K$4&lt;=$E14,K$3&gt;=65),K$4*$G14+$H14,0)</f>
        <v>0</v>
      </c>
      <c r="L14" s="15">
        <f t="shared" si="1"/>
        <v>0</v>
      </c>
      <c r="M14" s="44">
        <f t="shared" si="1"/>
        <v>0</v>
      </c>
    </row>
    <row r="15" spans="1:14" x14ac:dyDescent="0.4">
      <c r="B15" s="19" t="s">
        <v>47</v>
      </c>
      <c r="C15" s="28" t="s">
        <v>48</v>
      </c>
      <c r="D15" s="15">
        <v>7700000</v>
      </c>
      <c r="E15" s="15">
        <f>D16-1</f>
        <v>9999999</v>
      </c>
      <c r="F15" s="29" t="s">
        <v>71</v>
      </c>
      <c r="G15" s="22">
        <v>0.95</v>
      </c>
      <c r="H15" s="35">
        <v>-1455000</v>
      </c>
      <c r="I15" s="43">
        <f t="shared" si="2"/>
        <v>0</v>
      </c>
      <c r="J15" s="15">
        <f t="shared" si="1"/>
        <v>0</v>
      </c>
      <c r="K15" s="15">
        <f t="shared" si="1"/>
        <v>0</v>
      </c>
      <c r="L15" s="15">
        <f>IF(AND(L$4&gt;=$D15,L$4&lt;=$E15,L$3&gt;=65),L$4*$G15+$H15,0)</f>
        <v>0</v>
      </c>
      <c r="M15" s="44">
        <f t="shared" si="1"/>
        <v>0</v>
      </c>
    </row>
    <row r="16" spans="1:14" ht="19.5" thickBot="1" x14ac:dyDescent="0.45">
      <c r="B16" s="19" t="s">
        <v>49</v>
      </c>
      <c r="C16" s="30" t="s">
        <v>50</v>
      </c>
      <c r="D16" s="31">
        <v>10000000</v>
      </c>
      <c r="E16" s="31"/>
      <c r="F16" s="32">
        <v>-1955000</v>
      </c>
      <c r="G16" s="22">
        <v>1</v>
      </c>
      <c r="H16" s="35">
        <v>-1955000</v>
      </c>
      <c r="I16" s="45">
        <f>IF(AND(I$4&gt;=$D16,I$3&gt;=65),I$4*$G16+$H16,0)</f>
        <v>0</v>
      </c>
      <c r="J16" s="31">
        <f>IF(AND(J$4&gt;=$D16,J$3&gt;=65),J$4*$G16+$H16,0)</f>
        <v>0</v>
      </c>
      <c r="K16" s="31">
        <f>IF(AND(K$4&gt;=$D16,K$3&gt;=65),K$4*$G16+$H16,0)</f>
        <v>0</v>
      </c>
      <c r="L16" s="31">
        <f>IF(AND(L$4&gt;=$D16,L$3&gt;=65),L$4*$G16+$H16,0)</f>
        <v>0</v>
      </c>
      <c r="M16" s="46">
        <f>IF(AND(M$4&gt;=$D16,M$3&gt;=65),M$4*$G16+$H16,0)</f>
        <v>0</v>
      </c>
    </row>
    <row r="17" spans="8:14" ht="19.5" thickBot="1" x14ac:dyDescent="0.45">
      <c r="H17" s="12"/>
      <c r="I17" s="77">
        <f>SUM(I5:I16)</f>
        <v>0</v>
      </c>
      <c r="J17" s="78">
        <f>SUM(J5:J16)</f>
        <v>0</v>
      </c>
      <c r="K17" s="78">
        <f>SUM(K5:K16)</f>
        <v>0</v>
      </c>
      <c r="L17" s="78">
        <f>SUM(L5:L16)</f>
        <v>0</v>
      </c>
      <c r="M17" s="79">
        <f>SUM(M5:M16)</f>
        <v>0</v>
      </c>
      <c r="N17" s="47" t="s">
        <v>25</v>
      </c>
    </row>
    <row r="18" spans="8:14" x14ac:dyDescent="0.4">
      <c r="H18" s="12"/>
      <c r="I18" s="12"/>
      <c r="J18" s="12"/>
      <c r="K18" s="12"/>
      <c r="L18" s="12"/>
      <c r="M18" s="12"/>
      <c r="N18" s="12"/>
    </row>
    <row r="19" spans="8:14" x14ac:dyDescent="0.4">
      <c r="H19" s="12"/>
      <c r="I19" s="12"/>
      <c r="J19" s="12"/>
      <c r="K19" s="12"/>
      <c r="L19" s="12"/>
      <c r="M19" s="12"/>
      <c r="N19" s="12"/>
    </row>
    <row r="20" spans="8:14" x14ac:dyDescent="0.4">
      <c r="H20" s="12"/>
      <c r="I20" s="12"/>
      <c r="J20" s="12"/>
      <c r="K20" s="12"/>
      <c r="L20" s="12"/>
      <c r="M20" s="12"/>
      <c r="N20" s="12"/>
    </row>
    <row r="21" spans="8:14" x14ac:dyDescent="0.4">
      <c r="H21" s="12"/>
      <c r="I21" s="12"/>
      <c r="J21" s="12"/>
      <c r="K21" s="12"/>
      <c r="L21" s="12"/>
      <c r="M21" s="12"/>
      <c r="N21" s="12"/>
    </row>
    <row r="22" spans="8:14" x14ac:dyDescent="0.4">
      <c r="H22" s="12"/>
      <c r="I22" s="12"/>
      <c r="J22" s="12"/>
      <c r="K22" s="12"/>
      <c r="L22" s="12"/>
      <c r="M22" s="12"/>
      <c r="N22" s="12"/>
    </row>
    <row r="23" spans="8:14" x14ac:dyDescent="0.4">
      <c r="H23" s="12"/>
      <c r="I23" s="12"/>
      <c r="J23" s="12"/>
      <c r="K23" s="12"/>
      <c r="L23" s="12"/>
      <c r="M23" s="12"/>
      <c r="N23" s="12"/>
    </row>
    <row r="24" spans="8:14" x14ac:dyDescent="0.4">
      <c r="H24" s="12"/>
      <c r="I24" s="12"/>
      <c r="J24" s="12"/>
      <c r="K24" s="12"/>
      <c r="L24" s="12"/>
      <c r="M24" s="12"/>
      <c r="N24" s="12"/>
    </row>
    <row r="25" spans="8:14" x14ac:dyDescent="0.4">
      <c r="H25" s="12"/>
      <c r="I25" s="12"/>
      <c r="J25" s="12"/>
      <c r="K25" s="12"/>
      <c r="L25" s="12"/>
      <c r="M25" s="12"/>
      <c r="N25" s="12"/>
    </row>
  </sheetData>
  <phoneticPr fontId="2"/>
  <pageMargins left="0.7" right="0.7" top="0.75" bottom="0.75" header="0.3" footer="0.3"/>
  <pageSetup paperSize="9" orientation="portrait" r:id="rId1"/>
</worksheet>
</file>